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2" activeTab="5"/>
  </bookViews>
  <sheets>
    <sheet name="Тарифы к ОСС_жилье" sheetId="1" r:id="rId1"/>
    <sheet name="Тарифы к ОСС_нежилье" sheetId="2" r:id="rId2"/>
    <sheet name="Тарифы к ОСС_паркинг" sheetId="3" r:id="rId3"/>
    <sheet name="Разъяснения" sheetId="4" r:id="rId4"/>
    <sheet name="Лифты_формула" sheetId="7" r:id="rId5"/>
    <sheet name="Охрана" sheetId="9" r:id="rId6"/>
  </sheets>
  <externalReferences>
    <externalReference r:id="rId7"/>
  </externalReferences>
  <definedNames>
    <definedName name="_1" localSheetId="4" hidden="1">#REF!,#REF!</definedName>
    <definedName name="_1" localSheetId="5" hidden="1">#REF!,#REF!</definedName>
    <definedName name="_1" hidden="1">#REF!,#REF!</definedName>
    <definedName name="csDesignMode">1</definedName>
    <definedName name="EUR_C" localSheetId="4">#REF!</definedName>
    <definedName name="EUR_C" localSheetId="3">#REF!</definedName>
    <definedName name="EUR_C">#REF!</definedName>
    <definedName name="EUR_O" localSheetId="4">#REF!</definedName>
    <definedName name="EUR_O" localSheetId="3">#REF!</definedName>
    <definedName name="EUR_O">#REF!</definedName>
    <definedName name="Excel_BuiltIn_Print_Area" localSheetId="4">#REF!</definedName>
    <definedName name="Excel_BuiltIn_Print_Area" localSheetId="3">#REF!</definedName>
    <definedName name="Excel_BuiltIn_Print_Area">#REF!</definedName>
    <definedName name="f" localSheetId="4" hidden="1">#REF!,#REF!,#REF!</definedName>
    <definedName name="f" localSheetId="3" hidden="1">#REF!,#REF!,#REF!</definedName>
    <definedName name="f" hidden="1">#REF!,#REF!,#REF!</definedName>
    <definedName name="limcount" hidden="1">1</definedName>
    <definedName name="Print_Area" localSheetId="4">#REF!</definedName>
    <definedName name="Print_Area">#REF!</definedName>
    <definedName name="USD_C" localSheetId="4">#REF!</definedName>
    <definedName name="USD_C" localSheetId="3">#REF!</definedName>
    <definedName name="USD_C">#REF!</definedName>
    <definedName name="USD_O" localSheetId="4">#REF!</definedName>
    <definedName name="USD_O" localSheetId="3">#REF!</definedName>
    <definedName name="USD_O">#REF!</definedName>
    <definedName name="Z_0885457D_12CF_4923_864D_998BA35CE01D_.wvu.Cols" localSheetId="4" hidden="1">#REF!,#REF!</definedName>
    <definedName name="Z_0885457D_12CF_4923_864D_998BA35CE01D_.wvu.Cols" localSheetId="3" hidden="1">#REF!,#REF!</definedName>
    <definedName name="Z_0885457D_12CF_4923_864D_998BA35CE01D_.wvu.Cols" hidden="1">#REF!,#REF!</definedName>
    <definedName name="Z_0885457D_12CF_4923_864D_998BA35CE01D_.wvu.Rows" localSheetId="4" hidden="1">#REF!,#REF!,#REF!</definedName>
    <definedName name="Z_0885457D_12CF_4923_864D_998BA35CE01D_.wvu.Rows" localSheetId="3" hidden="1">#REF!,#REF!,#REF!</definedName>
    <definedName name="Z_0885457D_12CF_4923_864D_998BA35CE01D_.wvu.Rows" hidden="1">#REF!,#REF!,#REF!</definedName>
    <definedName name="Z_0885457D_12CF_4923_864D_998BA35CE01D__wvu_Cols" localSheetId="4">(#REF!,#REF!)</definedName>
    <definedName name="Z_0885457D_12CF_4923_864D_998BA35CE01D__wvu_Cols" localSheetId="3">(#REF!,#REF!)</definedName>
    <definedName name="Z_0885457D_12CF_4923_864D_998BA35CE01D__wvu_Cols">(#REF!,#REF!)</definedName>
    <definedName name="Z_0885457D_12CF_4923_864D_998BA35CE01D__wvu_Rows" localSheetId="4">(#REF!,#REF!,#REF!)</definedName>
    <definedName name="Z_0885457D_12CF_4923_864D_998BA35CE01D__wvu_Rows" localSheetId="3">(#REF!,#REF!,#REF!)</definedName>
    <definedName name="Z_0885457D_12CF_4923_864D_998BA35CE01D__wvu_Rows">(#REF!,#REF!,#REF!)</definedName>
    <definedName name="Z_144EA558_4B8B_4239_858D_3D3B320E64FA_.wvu.Cols" localSheetId="4" hidden="1">#REF!,#REF!</definedName>
    <definedName name="Z_144EA558_4B8B_4239_858D_3D3B320E64FA_.wvu.Cols" localSheetId="3" hidden="1">#REF!,#REF!</definedName>
    <definedName name="Z_144EA558_4B8B_4239_858D_3D3B320E64FA_.wvu.Cols" hidden="1">#REF!,#REF!</definedName>
    <definedName name="Z_144EA558_4B8B_4239_858D_3D3B320E64FA_.wvu.PrintArea" localSheetId="4" hidden="1">#REF!</definedName>
    <definedName name="Z_144EA558_4B8B_4239_858D_3D3B320E64FA_.wvu.PrintArea" localSheetId="3" hidden="1">#REF!</definedName>
    <definedName name="Z_144EA558_4B8B_4239_858D_3D3B320E64FA_.wvu.PrintArea" hidden="1">#REF!</definedName>
    <definedName name="Z_144EA558_4B8B_4239_858D_3D3B320E64FA__wvu_Cols" localSheetId="4">(#REF!,#REF!)</definedName>
    <definedName name="Z_144EA558_4B8B_4239_858D_3D3B320E64FA__wvu_Cols" localSheetId="3">(#REF!,#REF!)</definedName>
    <definedName name="Z_144EA558_4B8B_4239_858D_3D3B320E64FA__wvu_Cols">(#REF!,#REF!)</definedName>
    <definedName name="Z_144EA558_4B8B_4239_858D_3D3B320E64FA__wvu_PrintArea" localSheetId="4">#REF!</definedName>
    <definedName name="Z_144EA558_4B8B_4239_858D_3D3B320E64FA__wvu_PrintArea" localSheetId="3">#REF!</definedName>
    <definedName name="Z_144EA558_4B8B_4239_858D_3D3B320E64FA__wvu_PrintArea">#REF!</definedName>
    <definedName name="Z_2D3F4D39_1D20_491A_8BE9_2F4C8E41EE2A_.wvu.Cols" localSheetId="4" hidden="1">#REF!</definedName>
    <definedName name="Z_2D3F4D39_1D20_491A_8BE9_2F4C8E41EE2A_.wvu.Cols" localSheetId="3" hidden="1">#REF!</definedName>
    <definedName name="Z_2D3F4D39_1D20_491A_8BE9_2F4C8E41EE2A_.wvu.Cols" hidden="1">#REF!</definedName>
    <definedName name="Z_2D3F4D39_1D20_491A_8BE9_2F4C8E41EE2A__wvu_Cols" localSheetId="4">#REF!</definedName>
    <definedName name="Z_2D3F4D39_1D20_491A_8BE9_2F4C8E41EE2A__wvu_Cols" localSheetId="3">#REF!</definedName>
    <definedName name="Z_2D3F4D39_1D20_491A_8BE9_2F4C8E41EE2A__wvu_Cols">#REF!</definedName>
    <definedName name="ZSER" localSheetId="4" hidden="1">#REF!</definedName>
    <definedName name="ZSER" localSheetId="3" hidden="1">#REF!</definedName>
    <definedName name="ZSER" hidden="1">#REF!</definedName>
    <definedName name="аа" localSheetId="4">#REF!</definedName>
    <definedName name="аа" localSheetId="3">#REF!</definedName>
    <definedName name="аа">#REF!</definedName>
    <definedName name="Август" localSheetId="4" hidden="1">#REF!,#REF!</definedName>
    <definedName name="Август" localSheetId="3" hidden="1">#REF!,#REF!</definedName>
    <definedName name="Август" hidden="1">#REF!,#REF!</definedName>
    <definedName name="АУП_01" localSheetId="4">#REF!</definedName>
    <definedName name="АУП_01" localSheetId="3">#REF!</definedName>
    <definedName name="АУП_01">#REF!</definedName>
    <definedName name="БДР_12" localSheetId="4" hidden="1">#REF!,#REF!</definedName>
    <definedName name="БДР_12" localSheetId="3" hidden="1">#REF!,#REF!</definedName>
    <definedName name="БДР_12" hidden="1">#REF!,#REF!</definedName>
    <definedName name="БДР_2011" localSheetId="4">#REF!</definedName>
    <definedName name="БДР_2011" localSheetId="3">#REF!</definedName>
    <definedName name="БДР_2011">#REF!</definedName>
    <definedName name="варш" localSheetId="4">#REF!</definedName>
    <definedName name="варш">#REF!</definedName>
    <definedName name="газ" localSheetId="4">#REF!</definedName>
    <definedName name="газ" localSheetId="3">#REF!</definedName>
    <definedName name="газ">#REF!</definedName>
    <definedName name="Евро" localSheetId="4">[1]плат.календарь!#REF!</definedName>
    <definedName name="Евро" localSheetId="3">[1]плат.календарь!#REF!</definedName>
    <definedName name="Евро">[1]плат.календарь!#REF!</definedName>
    <definedName name="еееееее" localSheetId="4" hidden="1">#REF!</definedName>
    <definedName name="еееееее" localSheetId="3" hidden="1">#REF!</definedName>
    <definedName name="еееееее" hidden="1">#REF!</definedName>
    <definedName name="ж58545" localSheetId="4">#REF!</definedName>
    <definedName name="ж58545" localSheetId="3">#REF!</definedName>
    <definedName name="ж58545">#REF!</definedName>
    <definedName name="Иностранцы" localSheetId="4" hidden="1">#REF!,#REF!</definedName>
    <definedName name="Иностранцы" localSheetId="3" hidden="1">#REF!,#REF!</definedName>
    <definedName name="Иностранцы" hidden="1">#REF!,#REF!</definedName>
    <definedName name="ккк" localSheetId="4">#REF!</definedName>
    <definedName name="ккк" localSheetId="3">#REF!</definedName>
    <definedName name="ккк">#REF!</definedName>
    <definedName name="лазурное" localSheetId="4">#REF!</definedName>
    <definedName name="лазурное" localSheetId="3">#REF!</definedName>
    <definedName name="лазурное">#REF!</definedName>
    <definedName name="МАЙ" localSheetId="4">#REF!</definedName>
    <definedName name="МАЙ" localSheetId="3">#REF!</definedName>
    <definedName name="МАЙ">#REF!</definedName>
    <definedName name="мир" localSheetId="4">#REF!</definedName>
    <definedName name="мир" localSheetId="3">#REF!</definedName>
    <definedName name="мир">#REF!</definedName>
    <definedName name="монблан" localSheetId="4" hidden="1">#REF!,#REF!,#REF!</definedName>
    <definedName name="монблан" localSheetId="3" hidden="1">#REF!,#REF!,#REF!</definedName>
    <definedName name="монблан" hidden="1">#REF!,#REF!,#REF!</definedName>
    <definedName name="НДС" localSheetId="4">#REF!</definedName>
    <definedName name="НДС" localSheetId="3">#REF!</definedName>
    <definedName name="НДС">#REF!</definedName>
    <definedName name="новый" localSheetId="4" hidden="1">#REF!,#REF!,#REF!</definedName>
    <definedName name="новый" localSheetId="3" hidden="1">#REF!,#REF!,#REF!</definedName>
    <definedName name="новый" hidden="1">#REF!,#REF!,#REF!</definedName>
    <definedName name="_xlnm.Print_Area" localSheetId="4">#REF!</definedName>
    <definedName name="_xlnm.Print_Area" localSheetId="3">#REF!</definedName>
    <definedName name="_xlnm.Print_Area">#REF!</definedName>
    <definedName name="объектымай" localSheetId="4" hidden="1">#REF!,#REF!</definedName>
    <definedName name="объектымай" localSheetId="3" hidden="1">#REF!,#REF!</definedName>
    <definedName name="объектымай" hidden="1">#REF!,#REF!</definedName>
    <definedName name="пмарплго" localSheetId="4" hidden="1">#REF!,#REF!</definedName>
    <definedName name="пмарплго" localSheetId="3" hidden="1">#REF!,#REF!</definedName>
    <definedName name="пмарплго" hidden="1">#REF!,#REF!</definedName>
    <definedName name="ппп" localSheetId="4">#REF!</definedName>
    <definedName name="ппп" localSheetId="3">#REF!</definedName>
    <definedName name="ппп">#REF!</definedName>
    <definedName name="пр" localSheetId="4" hidden="1">#REF!,#REF!,#REF!</definedName>
    <definedName name="пр" localSheetId="3" hidden="1">#REF!,#REF!,#REF!</definedName>
    <definedName name="пр" hidden="1">#REF!,#REF!,#REF!</definedName>
    <definedName name="ррррр" localSheetId="4" hidden="1">#REF!</definedName>
    <definedName name="ррррр" localSheetId="3" hidden="1">#REF!</definedName>
    <definedName name="ррррр" hidden="1">#REF!</definedName>
    <definedName name="срочные" localSheetId="4">[1]плат.календарь!#REF!</definedName>
    <definedName name="срочные" localSheetId="3">[1]плат.календарь!#REF!</definedName>
    <definedName name="срочные">[1]плат.календарь!#REF!</definedName>
    <definedName name="тося" localSheetId="4">#REF!</definedName>
    <definedName name="тося" localSheetId="3">#REF!</definedName>
    <definedName name="тося">#REF!</definedName>
    <definedName name="ф" localSheetId="4">#REF!</definedName>
    <definedName name="ф" localSheetId="3">#REF!</definedName>
    <definedName name="ф">#REF!</definedName>
    <definedName name="ФОТобъектымай" localSheetId="4" hidden="1">#REF!,#REF!</definedName>
    <definedName name="ФОТобъектымай" localSheetId="3" hidden="1">#REF!,#REF!</definedName>
    <definedName name="ФОТобъектымай" hidden="1">#REF!,#REF!</definedName>
    <definedName name="х_265" localSheetId="4" hidden="1">#REF!,#REF!,#REF!</definedName>
    <definedName name="х_265" localSheetId="3" hidden="1">#REF!,#REF!,#REF!</definedName>
    <definedName name="х_265" hidden="1">#REF!,#REF!,#REF!</definedName>
    <definedName name="юз" localSheetId="4" hidden="1">#REF!,#REF!,#REF!</definedName>
    <definedName name="юз" localSheetId="3" hidden="1">#REF!,#REF!,#REF!</definedName>
    <definedName name="юз" hidden="1">#REF!,#REF!,#REF!</definedName>
    <definedName name="ЮЗ13" localSheetId="4" hidden="1">#REF!,#REF!</definedName>
    <definedName name="ЮЗ13" localSheetId="3" hidden="1">#REF!,#REF!</definedName>
    <definedName name="ЮЗ13" hidden="1">#REF!,#REF!</definedName>
    <definedName name="ююююююююююююю" localSheetId="4">#REF!</definedName>
    <definedName name="ююююююююююююю" localSheetId="3">#REF!</definedName>
    <definedName name="ююююююююююююю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9" i="1"/>
  <c r="C29" i="9" l="1"/>
  <c r="B29" i="9"/>
  <c r="C27" i="9"/>
  <c r="C28" i="9"/>
  <c r="C26" i="9"/>
  <c r="E24" i="3"/>
  <c r="E20" i="2"/>
  <c r="E23" i="1"/>
  <c r="H20" i="9"/>
  <c r="C19" i="9"/>
  <c r="D6" i="9"/>
  <c r="C6" i="9"/>
  <c r="B6" i="9"/>
  <c r="E5" i="9"/>
  <c r="E4" i="9"/>
  <c r="H19" i="9" s="1"/>
  <c r="E3" i="9"/>
  <c r="H18" i="9" s="1"/>
  <c r="H21" i="9" l="1"/>
  <c r="D19" i="9"/>
  <c r="I21" i="9" s="1"/>
  <c r="E6" i="9"/>
  <c r="E19" i="9"/>
  <c r="I19" i="9" l="1"/>
  <c r="J19" i="9" s="1"/>
  <c r="I20" i="9"/>
  <c r="J20" i="9" s="1"/>
  <c r="I18" i="9"/>
  <c r="J18" i="9" s="1"/>
  <c r="M18" i="9" l="1"/>
  <c r="L18" i="9"/>
  <c r="L20" i="9"/>
  <c r="M20" i="9"/>
  <c r="M19" i="9"/>
  <c r="L19" i="9"/>
  <c r="E3" i="4" l="1"/>
  <c r="E6" i="4" s="1"/>
  <c r="D25" i="4" l="1"/>
  <c r="C25" i="4"/>
  <c r="E25" i="4" l="1"/>
  <c r="E20" i="1" l="1"/>
  <c r="E33" i="7"/>
  <c r="B10" i="7"/>
  <c r="E30" i="7" l="1"/>
  <c r="E24" i="7"/>
  <c r="E25" i="7" s="1"/>
  <c r="E23" i="7"/>
  <c r="E16" i="7"/>
  <c r="E15" i="7"/>
  <c r="B7" i="7"/>
  <c r="E17" i="7" l="1"/>
  <c r="E28" i="7" s="1"/>
  <c r="C41" i="4" l="1"/>
  <c r="C37" i="4"/>
  <c r="C35" i="4"/>
  <c r="C34" i="4"/>
  <c r="C32" i="4"/>
  <c r="C31" i="4"/>
  <c r="K18" i="4"/>
  <c r="J18" i="4"/>
  <c r="J13" i="4"/>
  <c r="F18" i="4" l="1"/>
  <c r="E16" i="4" l="1"/>
  <c r="C42" i="4"/>
  <c r="M18" i="4" s="1"/>
  <c r="C36" i="4"/>
  <c r="C38" i="4"/>
  <c r="M13" i="4" s="1"/>
  <c r="E23" i="4"/>
  <c r="L18" i="4"/>
  <c r="E18" i="4"/>
  <c r="L16" i="4"/>
  <c r="K16" i="4"/>
  <c r="L15" i="4"/>
  <c r="K15" i="4"/>
  <c r="E15" i="4"/>
  <c r="G15" i="4" s="1"/>
  <c r="H15" i="4" s="1"/>
  <c r="I15" i="4" s="1"/>
  <c r="K14" i="4"/>
  <c r="E14" i="4"/>
  <c r="H14" i="4" s="1"/>
  <c r="I14" i="4" s="1"/>
  <c r="L13" i="4"/>
  <c r="K13" i="4"/>
  <c r="E13" i="4"/>
  <c r="H13" i="4" s="1"/>
  <c r="B9" i="4"/>
  <c r="B6" i="4"/>
  <c r="E23" i="3" l="1"/>
  <c r="E11" i="3"/>
  <c r="F23" i="4"/>
  <c r="G23" i="4" s="1"/>
  <c r="F25" i="4"/>
  <c r="G18" i="4"/>
  <c r="I13" i="4"/>
  <c r="G16" i="4"/>
  <c r="H16" i="4" s="1"/>
  <c r="I16" i="4" s="1"/>
  <c r="H23" i="4" l="1"/>
  <c r="J23" i="4"/>
  <c r="K23" i="4"/>
  <c r="N13" i="4"/>
  <c r="G25" i="4"/>
  <c r="H25" i="4" s="1"/>
  <c r="H18" i="4"/>
  <c r="E12" i="3" l="1"/>
  <c r="E12" i="2"/>
  <c r="E13" i="1"/>
  <c r="J25" i="4"/>
  <c r="K25" i="4"/>
  <c r="E13" i="3"/>
  <c r="E12" i="1"/>
  <c r="O13" i="4"/>
  <c r="P13" i="4" s="1"/>
  <c r="I18" i="4"/>
  <c r="Q13" i="4" l="1"/>
  <c r="E10" i="2" s="1"/>
  <c r="N18" i="4"/>
  <c r="E10" i="3" l="1"/>
  <c r="E10" i="1"/>
  <c r="O18" i="4"/>
  <c r="P18" i="4" s="1"/>
  <c r="S13" i="4"/>
  <c r="T13" i="4"/>
  <c r="E9" i="3" l="1"/>
  <c r="Q18" i="4"/>
  <c r="E22" i="3" l="1"/>
  <c r="E19" i="2"/>
  <c r="E22" i="1"/>
  <c r="S18" i="4"/>
  <c r="T18" i="4"/>
  <c r="F10" i="3" l="1"/>
  <c r="G10" i="3"/>
  <c r="F11" i="3"/>
  <c r="G11" i="3"/>
  <c r="F12" i="3"/>
  <c r="G12" i="3"/>
  <c r="F13" i="3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G9" i="3"/>
  <c r="D9" i="3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G9" i="2"/>
  <c r="D9" i="2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G9" i="1"/>
  <c r="D9" i="1"/>
  <c r="F9" i="3" l="1"/>
  <c r="F9" i="2"/>
  <c r="F9" i="1"/>
</calcChain>
</file>

<file path=xl/sharedStrings.xml><?xml version="1.0" encoding="utf-8"?>
<sst xmlns="http://schemas.openxmlformats.org/spreadsheetml/2006/main" count="245" uniqueCount="130">
  <si>
    <t>Тарифный план на услуги и работы</t>
  </si>
  <si>
    <t xml:space="preserve"> </t>
  </si>
  <si>
    <t>Наименование</t>
  </si>
  <si>
    <t>Ед. измерения (в месяц)</t>
  </si>
  <si>
    <t>I</t>
  </si>
  <si>
    <t>Содержание и ремонт жилого помещения</t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</si>
  <si>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Содержание общего имущества в многоквартирном доме</t>
    </r>
  </si>
  <si>
    <t>руб. /кв.м</t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</si>
  <si>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Текущий ремонт общего имущества в многоквартирном доме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</si>
  <si>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Уборка мест общего пользования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</si>
  <si>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Санитарное содержание придомовой территории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</si>
  <si>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Обслуживание переговорно-замочного устройства (ПЗУ)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</si>
  <si>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Обслуживание систем автоматической противопожарной защиты (АППЗ)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</si>
  <si>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Обслуживание системы контроля управления доступом и видеонаблюдения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</si>
  <si>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 xml:space="preserve">Эксплуатация коллективных приборов учета электрической энергии 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</si>
  <si>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Эксплуатация коллективных приборов учета тепловой энергии и горячей воды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</si>
  <si>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Эксплуатация коллективных приборов учета холодной воды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</si>
  <si>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Обслуживание, освидетельствование, страхование  лифтов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</si>
  <si>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Аварийно-диспетчерская служба</t>
    </r>
  </si>
  <si>
    <r>
      <t xml:space="preserve">· </t>
    </r>
    <r>
      <rPr>
        <i/>
        <sz val="12"/>
        <color indexed="8"/>
        <rFont val="Aparajita"/>
        <family val="2"/>
      </rPr>
      <t>Служба администраторов территории</t>
    </r>
  </si>
  <si>
    <t>Содержание и ремонт автостоянки</t>
  </si>
  <si>
    <t>руб. /м.м.</t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</si>
  <si>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Уборка территории автостоянки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</si>
  <si>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Обслуживание системы приточно-вытяжной вентиляции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</si>
  <si>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Обслуживание систем водяного пожаротушения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</si>
  <si>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Обслуживание подъемно-секционных ворот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</si>
  <si>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Эксплуатация коллективных приборов учета электрической энергии</t>
    </r>
  </si>
  <si>
    <r>
      <t>·</t>
    </r>
    <r>
      <rPr>
        <sz val="12"/>
        <color indexed="8"/>
        <rFont val="Times New Roman"/>
        <family val="1"/>
        <charset val="204"/>
      </rPr>
      <t>  </t>
    </r>
    <r>
      <rPr>
        <i/>
        <sz val="12"/>
        <color indexed="8"/>
        <rFont val="Arial"/>
        <family val="2"/>
        <charset val="204"/>
      </rPr>
      <t>Управление многоквартирным домом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</si>
  <si>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Служба администраторов паркинга</t>
    </r>
  </si>
  <si>
    <t xml:space="preserve">Тариф действующий </t>
  </si>
  <si>
    <t>Тариф новый</t>
  </si>
  <si>
    <t>Отклонение, руб./м2</t>
  </si>
  <si>
    <t>Отклонение, %</t>
  </si>
  <si>
    <t>ПРЕЙСКУРАНТ</t>
  </si>
  <si>
    <t>УК "Космосервис Вторая"</t>
  </si>
  <si>
    <t>Общество с ограниченной ответственностью</t>
  </si>
  <si>
    <t>для владельцев жилых помещений дома №14, корпус 2, ул.Летчика Лихолетова</t>
  </si>
  <si>
    <t>Содержание и ремонт нежилого помещения</t>
  </si>
  <si>
    <t>Отклонение, руб./м/м</t>
  </si>
  <si>
    <t xml:space="preserve">для владельцев автостоянки дома №14, корпус 2, ул.Летчика Лихолетова </t>
  </si>
  <si>
    <t xml:space="preserve"> УК "Космосервис Вторая"</t>
  </si>
  <si>
    <t xml:space="preserve">для владельцев нежилых помещений дома №14, корпус 2, ул.Летчика Лихолетова </t>
  </si>
  <si>
    <t>Площадь:</t>
  </si>
  <si>
    <t>жилье</t>
  </si>
  <si>
    <t>нежилье</t>
  </si>
  <si>
    <t>паркинг</t>
  </si>
  <si>
    <t>количество м/мест</t>
  </si>
  <si>
    <t>средняя площадь машиноместа</t>
  </si>
  <si>
    <t>Статья расходов</t>
  </si>
  <si>
    <t xml:space="preserve">Должность  </t>
  </si>
  <si>
    <t>Кол-во</t>
  </si>
  <si>
    <t>ФОТ 1 человека, руб.</t>
  </si>
  <si>
    <t>ФОТ, руб.</t>
  </si>
  <si>
    <t>Доплата за праздничные дни, руб.</t>
  </si>
  <si>
    <t xml:space="preserve">Резерв отпусков, руб.
</t>
  </si>
  <si>
    <t>ФОТ_итого, руб.</t>
  </si>
  <si>
    <t>Страховые взносы, руб.</t>
  </si>
  <si>
    <t>Канцтовары, материалы, руб.</t>
  </si>
  <si>
    <t>Спецодежда, руб.</t>
  </si>
  <si>
    <t>Обучение, руб.</t>
  </si>
  <si>
    <t>Услуги сторонних орг-ций, руб.</t>
  </si>
  <si>
    <t xml:space="preserve">ИТОГО 
РАСХОДЫ, руб. </t>
  </si>
  <si>
    <t>Налог при УСН, руб.</t>
  </si>
  <si>
    <t>Рентабельность 10%, руб.</t>
  </si>
  <si>
    <t>Тариф_проект, руб./м2</t>
  </si>
  <si>
    <t>Тариф действующий, руб./м2</t>
  </si>
  <si>
    <t>Содержание общего имущества</t>
  </si>
  <si>
    <t>Управляющий</t>
  </si>
  <si>
    <t>Помощник управляющего</t>
  </si>
  <si>
    <t>Инженер по эксплуатации</t>
  </si>
  <si>
    <t>Техник по эксплуатации</t>
  </si>
  <si>
    <t>Аварийно-диспетчерская служба</t>
  </si>
  <si>
    <t>Диспетчер</t>
  </si>
  <si>
    <t>Сумма по договору с клининговой компанией, руб.</t>
  </si>
  <si>
    <t>Материалы для озеленения и весенней покраски газонных ограждений, руб.</t>
  </si>
  <si>
    <t>Услуги мех.уборки и вывоза снега, руб.</t>
  </si>
  <si>
    <t>Отклонение, руб.</t>
  </si>
  <si>
    <t>Уборка мест общего пользования, паркинга</t>
  </si>
  <si>
    <t>Санитарное содержание придомовой территории</t>
  </si>
  <si>
    <t>Услуги сторонних организаций</t>
  </si>
  <si>
    <t>Сумма, руб.</t>
  </si>
  <si>
    <t>Услуги по дератизации, дезинфекции объекта</t>
  </si>
  <si>
    <t>Услуги по чистке ковриков объекта</t>
  </si>
  <si>
    <t>Услуги по обслуживанию комплексов очистки воды (ХВС, ГВС)</t>
  </si>
  <si>
    <t xml:space="preserve">Услуги по испытанию средств защиты, поверке электрооборудования, утилизации люминисцентных ламп     </t>
  </si>
  <si>
    <t>Услуги по измерению сопротивления изоляции сетей электроснабжения</t>
  </si>
  <si>
    <t>Страхование гражданской ответственности</t>
  </si>
  <si>
    <t>Праздничные украшения</t>
  </si>
  <si>
    <t>Итого расходы</t>
  </si>
  <si>
    <t>Расходы на услуги связи</t>
  </si>
  <si>
    <t>Служба администраторов территории и паркинга</t>
  </si>
  <si>
    <t>Итого</t>
  </si>
  <si>
    <t>Распоряжение Комитета по тарифам СПб № 145-р от 29.11.2021 (с 07.01.2022 по 31.12.2022)</t>
  </si>
  <si>
    <t>Площадь, м2:</t>
  </si>
  <si>
    <t>кол-во лифтов</t>
  </si>
  <si>
    <t>этажность</t>
  </si>
  <si>
    <t>грузоподъемность</t>
  </si>
  <si>
    <t>скорость движения</t>
  </si>
  <si>
    <t>Лифт грузопассажирский</t>
  </si>
  <si>
    <t>автостоянка</t>
  </si>
  <si>
    <t>Лифт пассажирский</t>
  </si>
  <si>
    <t>Площадь первых этажей, м2</t>
  </si>
  <si>
    <t>Лифты грузопассажирские - грузоподъемность 1000 кг, этажность 12</t>
  </si>
  <si>
    <t>Базовая ставка, руб./лифт</t>
  </si>
  <si>
    <t>Коф-т</t>
  </si>
  <si>
    <t xml:space="preserve">Кол-во лифтов в доме </t>
  </si>
  <si>
    <t>Этажность</t>
  </si>
  <si>
    <t>Тех.обслуживание лифтов, включая ежегодное страхование, диагностику, руб.</t>
  </si>
  <si>
    <t>Лифты пассажирские - грузоподъемность 450 кг, этажность 12</t>
  </si>
  <si>
    <t>Итого стоимость обслуживания лифтов, страхование, диагностика, руб.</t>
  </si>
  <si>
    <t>Обслуживания платформ подъемных</t>
  </si>
  <si>
    <t>Тариф, руб./м2</t>
  </si>
  <si>
    <t>Сумма по договору с ЧОП, руб.</t>
  </si>
  <si>
    <t>Служба администраторов территории</t>
  </si>
  <si>
    <t>Площадь Лихолетова 14 к.2,3,4</t>
  </si>
  <si>
    <t>Доходы по старым тарифам, руб.</t>
  </si>
  <si>
    <t>Расходы, руб.</t>
  </si>
  <si>
    <t>Тариф_проект, руб./м2, руб./м/м</t>
  </si>
  <si>
    <t>Тариф действующий, руб./м2, руб./м/м</t>
  </si>
  <si>
    <t xml:space="preserve">жилье </t>
  </si>
  <si>
    <t xml:space="preserve"> Лихолетова 14 к.2</t>
  </si>
  <si>
    <t xml:space="preserve"> Лихолетова 14 к.3</t>
  </si>
  <si>
    <t xml:space="preserve"> Лихолетова 14 к.4</t>
  </si>
  <si>
    <t>Общая</t>
  </si>
  <si>
    <t>Жилье</t>
  </si>
  <si>
    <t>Нежилье</t>
  </si>
  <si>
    <t>Паркинг</t>
  </si>
  <si>
    <t>Кол-во м/м</t>
  </si>
  <si>
    <t>Общая стоимость по КП</t>
  </si>
  <si>
    <t>Стоимость с разбивкой на дома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</si>
</sst>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b/>
      <sz val="16"/>
      <color indexed="10"/>
      <name val="Calibri"/>
      <family val="2"/>
      <charset val="204"/>
    </font>
    <font>
      <b/>
      <i/>
      <sz val="14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b/>
      <i/>
      <sz val="16"/>
      <color indexed="8"/>
      <name val="Arial"/>
      <family val="2"/>
      <charset val="204"/>
    </font>
    <font>
      <b/>
      <i/>
      <sz val="10"/>
      <color indexed="9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i/>
      <sz val="12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Symbol"/>
      <family val="1"/>
      <charset val="2"/>
    </font>
    <font>
      <i/>
      <sz val="12"/>
      <color indexed="8"/>
      <name val="Aparajita"/>
      <family val="2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</borders>
  <cellStyleXfs count="13">
    <xf numFmtId="0" fontId="0" fillId="0" borderId="0"/>
    <xf numFmtId="0" fontId="2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21" fillId="0" borderId="0"/>
    <xf numFmtId="0" fontId="20" fillId="0" borderId="0"/>
    <xf numFmtId="0" fontId="38" fillId="0" borderId="0"/>
    <xf numFmtId="0" fontId="39" fillId="0" borderId="0"/>
    <xf numFmtId="0" fontId="41" fillId="0" borderId="0"/>
    <xf numFmtId="0" fontId="1" fillId="0" borderId="0"/>
  </cellStyleXfs>
  <cellXfs count="194">
    <xf numFmtId="0" fontId="0" fillId="0" borderId="0" xfId="0"/>
    <xf numFmtId="0" fontId="2" fillId="0" borderId="0" xfId="1" applyBorder="1"/>
    <xf numFmtId="0" fontId="2" fillId="0" borderId="0" xfId="1" applyFill="1" applyBorder="1" applyAlignment="1">
      <alignment vertical="center"/>
    </xf>
    <xf numFmtId="0" fontId="3" fillId="0" borderId="0" xfId="1" applyFont="1" applyBorder="1"/>
    <xf numFmtId="0" fontId="5" fillId="0" borderId="0" xfId="1" applyFont="1" applyBorder="1"/>
    <xf numFmtId="0" fontId="4" fillId="0" borderId="0" xfId="1" applyFont="1" applyBorder="1" applyAlignment="1">
      <alignment horizontal="left" wrapText="1"/>
    </xf>
    <xf numFmtId="0" fontId="2" fillId="0" borderId="0" xfId="1" applyBorder="1" applyAlignment="1">
      <alignment horizontal="centerContinuous"/>
    </xf>
    <xf numFmtId="0" fontId="7" fillId="0" borderId="0" xfId="1" applyFont="1" applyBorder="1"/>
    <xf numFmtId="0" fontId="9" fillId="0" borderId="0" xfId="1" applyFont="1" applyFill="1" applyBorder="1" applyAlignment="1">
      <alignment horizontal="right"/>
    </xf>
    <xf numFmtId="4" fontId="2" fillId="0" borderId="0" xfId="1" applyNumberFormat="1" applyFill="1" applyBorder="1" applyAlignment="1">
      <alignment vertical="center"/>
    </xf>
    <xf numFmtId="0" fontId="10" fillId="0" borderId="1" xfId="1" applyFont="1" applyBorder="1" applyAlignment="1">
      <alignment horizont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0" fontId="12" fillId="0" borderId="2" xfId="1" applyFont="1" applyBorder="1" applyAlignment="1">
      <alignment horizontal="center" wrapText="1"/>
    </xf>
    <xf numFmtId="0" fontId="13" fillId="0" borderId="2" xfId="1" applyFont="1" applyBorder="1" applyAlignment="1">
      <alignment vertical="center" wrapText="1"/>
    </xf>
    <xf numFmtId="0" fontId="15" fillId="0" borderId="2" xfId="1" applyFont="1" applyBorder="1" applyAlignment="1">
      <alignment horizontal="center" vertical="center" wrapText="1"/>
    </xf>
    <xf numFmtId="2" fontId="15" fillId="0" borderId="1" xfId="1" applyNumberFormat="1" applyFont="1" applyFill="1" applyBorder="1" applyAlignment="1">
      <alignment horizontal="center" vertical="center" wrapText="1"/>
    </xf>
    <xf numFmtId="0" fontId="16" fillId="0" borderId="1" xfId="1" applyFont="1" applyBorder="1" applyAlignment="1">
      <alignment horizontal="center" wrapText="1"/>
    </xf>
    <xf numFmtId="0" fontId="12" fillId="0" borderId="1" xfId="1" applyFont="1" applyBorder="1" applyAlignment="1">
      <alignment horizontal="center" wrapText="1"/>
    </xf>
    <xf numFmtId="0" fontId="13" fillId="0" borderId="1" xfId="1" applyFont="1" applyBorder="1" applyAlignment="1">
      <alignment horizontal="left" vertical="center" wrapText="1"/>
    </xf>
    <xf numFmtId="0" fontId="15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vertical="center" wrapText="1"/>
    </xf>
    <xf numFmtId="0" fontId="22" fillId="0" borderId="0" xfId="3" applyFont="1"/>
    <xf numFmtId="0" fontId="23" fillId="0" borderId="0" xfId="3" applyFont="1" applyAlignment="1">
      <alignment horizontal="center" vertical="center" wrapText="1"/>
    </xf>
    <xf numFmtId="0" fontId="24" fillId="0" borderId="0" xfId="3" applyFont="1"/>
    <xf numFmtId="0" fontId="21" fillId="0" borderId="0" xfId="3"/>
    <xf numFmtId="0" fontId="23" fillId="0" borderId="0" xfId="3" applyFont="1"/>
    <xf numFmtId="4" fontId="23" fillId="0" borderId="0" xfId="3" applyNumberFormat="1" applyFont="1" applyFill="1" applyAlignment="1">
      <alignment horizontal="left"/>
    </xf>
    <xf numFmtId="4" fontId="23" fillId="0" borderId="0" xfId="3" applyNumberFormat="1" applyFont="1" applyFill="1"/>
    <xf numFmtId="4" fontId="22" fillId="0" borderId="0" xfId="3" applyNumberFormat="1" applyFont="1" applyAlignment="1">
      <alignment horizontal="left"/>
    </xf>
    <xf numFmtId="4" fontId="22" fillId="0" borderId="0" xfId="3" applyNumberFormat="1" applyFont="1"/>
    <xf numFmtId="4" fontId="23" fillId="0" borderId="0" xfId="3" applyNumberFormat="1" applyFont="1"/>
    <xf numFmtId="3" fontId="23" fillId="0" borderId="0" xfId="3" applyNumberFormat="1" applyFont="1" applyFill="1" applyAlignment="1">
      <alignment horizontal="left"/>
    </xf>
    <xf numFmtId="0" fontId="25" fillId="0" borderId="0" xfId="3" applyFont="1"/>
    <xf numFmtId="0" fontId="26" fillId="0" borderId="0" xfId="3" applyFont="1"/>
    <xf numFmtId="0" fontId="27" fillId="0" borderId="7" xfId="4" applyFont="1" applyFill="1" applyBorder="1" applyAlignment="1">
      <alignment horizontal="center" vertical="center" wrapText="1"/>
    </xf>
    <xf numFmtId="0" fontId="27" fillId="0" borderId="8" xfId="4" applyFont="1" applyFill="1" applyBorder="1" applyAlignment="1">
      <alignment horizontal="center" vertical="center"/>
    </xf>
    <xf numFmtId="3" fontId="27" fillId="0" borderId="8" xfId="4" applyNumberFormat="1" applyFont="1" applyFill="1" applyBorder="1" applyAlignment="1">
      <alignment horizontal="center" vertical="center" wrapText="1"/>
    </xf>
    <xf numFmtId="3" fontId="27" fillId="3" borderId="8" xfId="4" applyNumberFormat="1" applyFont="1" applyFill="1" applyBorder="1" applyAlignment="1">
      <alignment horizontal="center" vertical="center" wrapText="1"/>
    </xf>
    <xf numFmtId="3" fontId="27" fillId="0" borderId="9" xfId="4" applyNumberFormat="1" applyFont="1" applyFill="1" applyBorder="1" applyAlignment="1">
      <alignment horizontal="center" vertical="center" wrapText="1"/>
    </xf>
    <xf numFmtId="0" fontId="28" fillId="0" borderId="0" xfId="4" applyFont="1" applyFill="1"/>
    <xf numFmtId="0" fontId="29" fillId="0" borderId="0" xfId="4" applyFont="1" applyFill="1"/>
    <xf numFmtId="3" fontId="28" fillId="0" borderId="10" xfId="4" applyNumberFormat="1" applyFont="1" applyFill="1" applyBorder="1" applyAlignment="1">
      <alignment horizontal="center"/>
    </xf>
    <xf numFmtId="3" fontId="28" fillId="0" borderId="11" xfId="4" applyNumberFormat="1" applyFont="1" applyFill="1" applyBorder="1" applyAlignment="1">
      <alignment horizontal="center"/>
    </xf>
    <xf numFmtId="4" fontId="28" fillId="3" borderId="11" xfId="4" applyNumberFormat="1" applyFont="1" applyFill="1" applyBorder="1" applyAlignment="1">
      <alignment horizontal="center"/>
    </xf>
    <xf numFmtId="4" fontId="28" fillId="0" borderId="11" xfId="4" applyNumberFormat="1" applyFont="1" applyFill="1" applyBorder="1" applyAlignment="1">
      <alignment horizontal="center"/>
    </xf>
    <xf numFmtId="4" fontId="28" fillId="0" borderId="12" xfId="4" applyNumberFormat="1" applyFont="1" applyFill="1" applyBorder="1" applyAlignment="1">
      <alignment horizontal="center"/>
    </xf>
    <xf numFmtId="3" fontId="28" fillId="0" borderId="14" xfId="4" applyNumberFormat="1" applyFont="1" applyFill="1" applyBorder="1" applyAlignment="1">
      <alignment horizontal="center" vertical="center"/>
    </xf>
    <xf numFmtId="0" fontId="28" fillId="0" borderId="0" xfId="4" applyFont="1" applyFill="1" applyAlignment="1">
      <alignment vertical="center"/>
    </xf>
    <xf numFmtId="0" fontId="29" fillId="0" borderId="0" xfId="4" applyFont="1" applyFill="1" applyAlignment="1">
      <alignment vertical="center"/>
    </xf>
    <xf numFmtId="3" fontId="28" fillId="0" borderId="19" xfId="4" applyNumberFormat="1" applyFont="1" applyFill="1" applyBorder="1" applyAlignment="1">
      <alignment horizontal="center" vertical="center" wrapText="1"/>
    </xf>
    <xf numFmtId="3" fontId="28" fillId="0" borderId="15" xfId="4" applyNumberFormat="1" applyFont="1" applyFill="1" applyBorder="1" applyAlignment="1">
      <alignment horizontal="center"/>
    </xf>
    <xf numFmtId="3" fontId="28" fillId="0" borderId="15" xfId="4" applyNumberFormat="1" applyFont="1" applyFill="1" applyBorder="1" applyAlignment="1">
      <alignment horizontal="center" vertical="center"/>
    </xf>
    <xf numFmtId="4" fontId="28" fillId="3" borderId="15" xfId="4" applyNumberFormat="1" applyFont="1" applyFill="1" applyBorder="1" applyAlignment="1">
      <alignment horizontal="center" vertical="center"/>
    </xf>
    <xf numFmtId="4" fontId="28" fillId="0" borderId="15" xfId="4" applyNumberFormat="1" applyFont="1" applyFill="1" applyBorder="1" applyAlignment="1">
      <alignment horizontal="center" vertical="center"/>
    </xf>
    <xf numFmtId="4" fontId="28" fillId="0" borderId="16" xfId="4" applyNumberFormat="1" applyFont="1" applyFill="1" applyBorder="1" applyAlignment="1">
      <alignment horizontal="center" vertical="center"/>
    </xf>
    <xf numFmtId="3" fontId="27" fillId="0" borderId="20" xfId="4" applyNumberFormat="1" applyFont="1" applyFill="1" applyBorder="1" applyAlignment="1">
      <alignment horizontal="center"/>
    </xf>
    <xf numFmtId="3" fontId="27" fillId="0" borderId="21" xfId="4" applyNumberFormat="1" applyFont="1" applyFill="1" applyBorder="1" applyAlignment="1">
      <alignment horizontal="center"/>
    </xf>
    <xf numFmtId="4" fontId="27" fillId="3" borderId="21" xfId="4" applyNumberFormat="1" applyFont="1" applyFill="1" applyBorder="1" applyAlignment="1">
      <alignment horizontal="center"/>
    </xf>
    <xf numFmtId="4" fontId="27" fillId="0" borderId="21" xfId="4" applyNumberFormat="1" applyFont="1" applyFill="1" applyBorder="1" applyAlignment="1">
      <alignment horizontal="center"/>
    </xf>
    <xf numFmtId="4" fontId="27" fillId="0" borderId="22" xfId="4" applyNumberFormat="1" applyFont="1" applyFill="1" applyBorder="1" applyAlignment="1">
      <alignment horizontal="center"/>
    </xf>
    <xf numFmtId="0" fontId="27" fillId="0" borderId="0" xfId="4" applyFont="1" applyFill="1"/>
    <xf numFmtId="0" fontId="30" fillId="0" borderId="0" xfId="4" applyFont="1" applyFill="1"/>
    <xf numFmtId="0" fontId="31" fillId="0" borderId="0" xfId="3" applyFont="1"/>
    <xf numFmtId="0" fontId="32" fillId="0" borderId="0" xfId="3" applyFont="1"/>
    <xf numFmtId="0" fontId="27" fillId="0" borderId="8" xfId="4" applyFont="1" applyFill="1" applyBorder="1" applyAlignment="1">
      <alignment horizontal="center" vertical="center" wrapText="1"/>
    </xf>
    <xf numFmtId="3" fontId="28" fillId="0" borderId="12" xfId="4" applyNumberFormat="1" applyFont="1" applyFill="1" applyBorder="1" applyAlignment="1">
      <alignment horizontal="center"/>
    </xf>
    <xf numFmtId="3" fontId="28" fillId="0" borderId="13" xfId="4" applyNumberFormat="1" applyFont="1" applyFill="1" applyBorder="1" applyAlignment="1">
      <alignment vertical="center" wrapText="1"/>
    </xf>
    <xf numFmtId="3" fontId="28" fillId="0" borderId="23" xfId="4" applyNumberFormat="1" applyFont="1" applyFill="1" applyBorder="1" applyAlignment="1">
      <alignment horizontal="center" vertical="center"/>
    </xf>
    <xf numFmtId="3" fontId="28" fillId="0" borderId="14" xfId="4" applyNumberFormat="1" applyFont="1" applyFill="1" applyBorder="1" applyAlignment="1">
      <alignment horizontal="center"/>
    </xf>
    <xf numFmtId="3" fontId="27" fillId="0" borderId="22" xfId="4" applyNumberFormat="1" applyFont="1" applyFill="1" applyBorder="1" applyAlignment="1">
      <alignment horizontal="center"/>
    </xf>
    <xf numFmtId="0" fontId="27" fillId="0" borderId="3" xfId="3" applyFont="1" applyBorder="1" applyAlignment="1">
      <alignment horizontal="center" vertical="center"/>
    </xf>
    <xf numFmtId="0" fontId="27" fillId="0" borderId="1" xfId="3" applyFont="1" applyBorder="1" applyAlignment="1">
      <alignment horizontal="center" vertical="center" wrapText="1"/>
    </xf>
    <xf numFmtId="2" fontId="28" fillId="0" borderId="24" xfId="4" applyNumberFormat="1" applyFont="1" applyFill="1" applyBorder="1" applyAlignment="1">
      <alignment horizontal="left" vertical="center" wrapText="1"/>
    </xf>
    <xf numFmtId="164" fontId="28" fillId="0" borderId="25" xfId="4" applyNumberFormat="1" applyFont="1" applyFill="1" applyBorder="1" applyAlignment="1">
      <alignment horizontal="center" vertical="center" wrapText="1"/>
    </xf>
    <xf numFmtId="0" fontId="28" fillId="0" borderId="0" xfId="3" applyFont="1" applyFill="1"/>
    <xf numFmtId="0" fontId="33" fillId="0" borderId="0" xfId="3" applyFont="1" applyFill="1"/>
    <xf numFmtId="2" fontId="28" fillId="0" borderId="26" xfId="4" applyNumberFormat="1" applyFont="1" applyFill="1" applyBorder="1" applyAlignment="1">
      <alignment horizontal="left" vertical="center" wrapText="1"/>
    </xf>
    <xf numFmtId="164" fontId="28" fillId="0" borderId="27" xfId="4" applyNumberFormat="1" applyFont="1" applyFill="1" applyBorder="1" applyAlignment="1">
      <alignment horizontal="center" vertical="center" wrapText="1"/>
    </xf>
    <xf numFmtId="0" fontId="23" fillId="0" borderId="0" xfId="3" applyFont="1" applyFill="1"/>
    <xf numFmtId="0" fontId="34" fillId="0" borderId="0" xfId="3" applyFont="1" applyFill="1"/>
    <xf numFmtId="2" fontId="28" fillId="0" borderId="28" xfId="4" applyNumberFormat="1" applyFont="1" applyFill="1" applyBorder="1" applyAlignment="1">
      <alignment horizontal="left" vertical="center" wrapText="1"/>
    </xf>
    <xf numFmtId="164" fontId="28" fillId="0" borderId="29" xfId="4" applyNumberFormat="1" applyFont="1" applyFill="1" applyBorder="1" applyAlignment="1">
      <alignment horizontal="center" vertical="center" wrapText="1"/>
    </xf>
    <xf numFmtId="2" fontId="27" fillId="0" borderId="3" xfId="4" applyNumberFormat="1" applyFont="1" applyFill="1" applyBorder="1" applyAlignment="1">
      <alignment horizontal="left" vertical="center" wrapText="1"/>
    </xf>
    <xf numFmtId="164" fontId="27" fillId="0" borderId="1" xfId="4" applyNumberFormat="1" applyFont="1" applyFill="1" applyBorder="1" applyAlignment="1">
      <alignment horizontal="center" vertical="center" wrapText="1"/>
    </xf>
    <xf numFmtId="0" fontId="24" fillId="0" borderId="0" xfId="3" applyFont="1" applyBorder="1"/>
    <xf numFmtId="0" fontId="24" fillId="0" borderId="30" xfId="3" applyFont="1" applyBorder="1"/>
    <xf numFmtId="2" fontId="15" fillId="4" borderId="1" xfId="1" applyNumberFormat="1" applyFont="1" applyFill="1" applyBorder="1" applyAlignment="1">
      <alignment horizontal="center" vertical="center" wrapText="1"/>
    </xf>
    <xf numFmtId="2" fontId="15" fillId="4" borderId="2" xfId="1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6" fillId="0" borderId="0" xfId="7" applyFont="1"/>
    <xf numFmtId="0" fontId="24" fillId="0" borderId="0" xfId="7" applyFont="1"/>
    <xf numFmtId="0" fontId="37" fillId="0" borderId="0" xfId="7" applyFont="1"/>
    <xf numFmtId="0" fontId="25" fillId="0" borderId="0" xfId="7" applyFont="1"/>
    <xf numFmtId="4" fontId="25" fillId="0" borderId="0" xfId="7" applyNumberFormat="1" applyFont="1" applyFill="1"/>
    <xf numFmtId="0" fontId="25" fillId="0" borderId="0" xfId="7" applyFont="1" applyAlignment="1">
      <alignment horizontal="center"/>
    </xf>
    <xf numFmtId="0" fontId="25" fillId="0" borderId="7" xfId="7" applyFont="1" applyBorder="1"/>
    <xf numFmtId="0" fontId="35" fillId="0" borderId="8" xfId="7" applyFont="1" applyFill="1" applyBorder="1" applyAlignment="1">
      <alignment horizontal="center" vertical="center"/>
    </xf>
    <xf numFmtId="0" fontId="25" fillId="0" borderId="8" xfId="7" applyFont="1" applyBorder="1" applyAlignment="1">
      <alignment horizontal="center" vertical="center"/>
    </xf>
    <xf numFmtId="0" fontId="25" fillId="0" borderId="8" xfId="7" applyFont="1" applyBorder="1" applyAlignment="1">
      <alignment horizontal="center" vertical="center" wrapText="1"/>
    </xf>
    <xf numFmtId="0" fontId="25" fillId="0" borderId="9" xfId="7" applyFont="1" applyBorder="1" applyAlignment="1">
      <alignment horizontal="center" vertical="center" wrapText="1"/>
    </xf>
    <xf numFmtId="0" fontId="25" fillId="0" borderId="10" xfId="7" applyFont="1" applyBorder="1"/>
    <xf numFmtId="0" fontId="35" fillId="0" borderId="11" xfId="7" applyFont="1" applyFill="1" applyBorder="1"/>
    <xf numFmtId="0" fontId="25" fillId="0" borderId="11" xfId="7" applyFont="1" applyBorder="1"/>
    <xf numFmtId="0" fontId="25" fillId="0" borderId="12" xfId="7" applyFont="1" applyBorder="1"/>
    <xf numFmtId="0" fontId="25" fillId="0" borderId="20" xfId="7" applyFont="1" applyBorder="1"/>
    <xf numFmtId="0" fontId="35" fillId="0" borderId="21" xfId="7" applyFont="1" applyFill="1" applyBorder="1"/>
    <xf numFmtId="0" fontId="25" fillId="0" borderId="21" xfId="7" applyFont="1" applyBorder="1"/>
    <xf numFmtId="0" fontId="25" fillId="0" borderId="22" xfId="7" applyFont="1" applyBorder="1"/>
    <xf numFmtId="4" fontId="37" fillId="0" borderId="0" xfId="7" applyNumberFormat="1" applyFont="1"/>
    <xf numFmtId="0" fontId="35" fillId="0" borderId="0" xfId="8" applyFont="1" applyFill="1"/>
    <xf numFmtId="2" fontId="36" fillId="0" borderId="0" xfId="8" applyNumberFormat="1" applyFont="1" applyFill="1"/>
    <xf numFmtId="2" fontId="35" fillId="0" borderId="0" xfId="8" applyNumberFormat="1" applyFont="1" applyFill="1"/>
    <xf numFmtId="0" fontId="35" fillId="0" borderId="33" xfId="8" applyFont="1" applyFill="1" applyBorder="1"/>
    <xf numFmtId="0" fontId="35" fillId="0" borderId="23" xfId="8" applyFont="1" applyFill="1" applyBorder="1"/>
    <xf numFmtId="4" fontId="35" fillId="0" borderId="0" xfId="8" applyNumberFormat="1" applyFont="1" applyFill="1"/>
    <xf numFmtId="0" fontId="35" fillId="0" borderId="0" xfId="8" applyFont="1" applyFill="1" applyAlignment="1">
      <alignment horizontal="right"/>
    </xf>
    <xf numFmtId="0" fontId="35" fillId="0" borderId="22" xfId="8" applyFont="1" applyFill="1" applyBorder="1"/>
    <xf numFmtId="0" fontId="35" fillId="5" borderId="7" xfId="8" applyFont="1" applyFill="1" applyBorder="1"/>
    <xf numFmtId="0" fontId="35" fillId="5" borderId="8" xfId="8" applyFont="1" applyFill="1" applyBorder="1"/>
    <xf numFmtId="4" fontId="35" fillId="5" borderId="9" xfId="8" applyNumberFormat="1" applyFont="1" applyFill="1" applyBorder="1"/>
    <xf numFmtId="9" fontId="36" fillId="0" borderId="0" xfId="8" applyNumberFormat="1" applyFont="1" applyFill="1"/>
    <xf numFmtId="0" fontId="35" fillId="0" borderId="0" xfId="9" applyFont="1"/>
    <xf numFmtId="0" fontId="37" fillId="0" borderId="0" xfId="7" applyFont="1" applyAlignment="1"/>
    <xf numFmtId="0" fontId="25" fillId="0" borderId="0" xfId="7" applyFont="1" applyAlignment="1"/>
    <xf numFmtId="4" fontId="36" fillId="0" borderId="0" xfId="8" applyNumberFormat="1" applyFont="1" applyFill="1"/>
    <xf numFmtId="0" fontId="36" fillId="0" borderId="0" xfId="9" applyFont="1"/>
    <xf numFmtId="0" fontId="35" fillId="0" borderId="0" xfId="9" applyFont="1" applyAlignment="1">
      <alignment horizontal="center"/>
    </xf>
    <xf numFmtId="0" fontId="36" fillId="0" borderId="0" xfId="8" applyFont="1" applyFill="1"/>
    <xf numFmtId="0" fontId="40" fillId="0" borderId="0" xfId="10" applyFont="1"/>
    <xf numFmtId="4" fontId="28" fillId="3" borderId="20" xfId="4" applyNumberFormat="1" applyFont="1" applyFill="1" applyBorder="1" applyAlignment="1">
      <alignment vertical="center"/>
    </xf>
    <xf numFmtId="4" fontId="28" fillId="3" borderId="21" xfId="4" applyNumberFormat="1" applyFont="1" applyFill="1" applyBorder="1" applyAlignment="1">
      <alignment vertical="center"/>
    </xf>
    <xf numFmtId="4" fontId="28" fillId="0" borderId="21" xfId="4" applyNumberFormat="1" applyFont="1" applyFill="1" applyBorder="1" applyAlignment="1">
      <alignment vertical="center"/>
    </xf>
    <xf numFmtId="4" fontId="28" fillId="0" borderId="22" xfId="4" applyNumberFormat="1" applyFont="1" applyFill="1" applyBorder="1" applyAlignment="1">
      <alignment vertical="center"/>
    </xf>
    <xf numFmtId="4" fontId="28" fillId="3" borderId="13" xfId="4" applyNumberFormat="1" applyFont="1" applyFill="1" applyBorder="1" applyAlignment="1">
      <alignment horizontal="center" vertical="center"/>
    </xf>
    <xf numFmtId="4" fontId="28" fillId="3" borderId="14" xfId="4" applyNumberFormat="1" applyFont="1" applyFill="1" applyBorder="1" applyAlignment="1">
      <alignment horizontal="center" vertical="center"/>
    </xf>
    <xf numFmtId="4" fontId="28" fillId="0" borderId="14" xfId="4" applyNumberFormat="1" applyFont="1" applyFill="1" applyBorder="1" applyAlignment="1">
      <alignment horizontal="center" vertical="center"/>
    </xf>
    <xf numFmtId="4" fontId="28" fillId="0" borderId="23" xfId="4" applyNumberFormat="1" applyFont="1" applyFill="1" applyBorder="1" applyAlignment="1">
      <alignment horizontal="center" vertical="center"/>
    </xf>
    <xf numFmtId="2" fontId="17" fillId="4" borderId="2" xfId="1" applyNumberFormat="1" applyFont="1" applyFill="1" applyBorder="1" applyAlignment="1">
      <alignment horizontal="center" vertical="center" wrapText="1"/>
    </xf>
    <xf numFmtId="0" fontId="27" fillId="3" borderId="8" xfId="4" applyFont="1" applyFill="1" applyBorder="1" applyAlignment="1">
      <alignment horizontal="center" vertical="center" wrapText="1"/>
    </xf>
    <xf numFmtId="0" fontId="27" fillId="0" borderId="9" xfId="4" applyFont="1" applyFill="1" applyBorder="1" applyAlignment="1">
      <alignment horizontal="center" vertical="center" wrapText="1"/>
    </xf>
    <xf numFmtId="0" fontId="28" fillId="0" borderId="10" xfId="4" applyFont="1" applyFill="1" applyBorder="1"/>
    <xf numFmtId="2" fontId="28" fillId="3" borderId="11" xfId="4" applyNumberFormat="1" applyFont="1" applyFill="1" applyBorder="1" applyAlignment="1">
      <alignment horizontal="center"/>
    </xf>
    <xf numFmtId="0" fontId="28" fillId="3" borderId="11" xfId="4" applyFont="1" applyFill="1" applyBorder="1" applyAlignment="1">
      <alignment horizontal="center"/>
    </xf>
    <xf numFmtId="2" fontId="28" fillId="0" borderId="11" xfId="4" applyNumberFormat="1" applyFont="1" applyFill="1" applyBorder="1" applyAlignment="1">
      <alignment horizontal="center"/>
    </xf>
    <xf numFmtId="2" fontId="28" fillId="0" borderId="12" xfId="4" applyNumberFormat="1" applyFont="1" applyFill="1" applyBorder="1" applyAlignment="1">
      <alignment horizontal="center"/>
    </xf>
    <xf numFmtId="0" fontId="28" fillId="0" borderId="13" xfId="4" applyFont="1" applyFill="1" applyBorder="1"/>
    <xf numFmtId="2" fontId="28" fillId="3" borderId="14" xfId="4" applyNumberFormat="1" applyFont="1" applyFill="1" applyBorder="1" applyAlignment="1">
      <alignment horizontal="center"/>
    </xf>
    <xf numFmtId="0" fontId="28" fillId="3" borderId="14" xfId="4" applyFont="1" applyFill="1" applyBorder="1" applyAlignment="1">
      <alignment horizontal="center"/>
    </xf>
    <xf numFmtId="2" fontId="28" fillId="0" borderId="14" xfId="4" applyNumberFormat="1" applyFont="1" applyFill="1" applyBorder="1" applyAlignment="1">
      <alignment horizontal="center"/>
    </xf>
    <xf numFmtId="2" fontId="28" fillId="0" borderId="23" xfId="4" applyNumberFormat="1" applyFont="1" applyFill="1" applyBorder="1" applyAlignment="1">
      <alignment horizontal="center"/>
    </xf>
    <xf numFmtId="0" fontId="28" fillId="0" borderId="20" xfId="4" applyFont="1" applyFill="1" applyBorder="1"/>
    <xf numFmtId="3" fontId="28" fillId="0" borderId="21" xfId="4" applyNumberFormat="1" applyFont="1" applyFill="1" applyBorder="1" applyAlignment="1">
      <alignment horizontal="center"/>
    </xf>
    <xf numFmtId="0" fontId="28" fillId="3" borderId="21" xfId="4" applyFont="1" applyFill="1" applyBorder="1"/>
    <xf numFmtId="0" fontId="28" fillId="0" borderId="21" xfId="4" applyFont="1" applyFill="1" applyBorder="1"/>
    <xf numFmtId="0" fontId="28" fillId="0" borderId="22" xfId="4" applyFont="1" applyFill="1" applyBorder="1"/>
    <xf numFmtId="0" fontId="23" fillId="0" borderId="0" xfId="0" applyFont="1"/>
    <xf numFmtId="0" fontId="23" fillId="0" borderId="0" xfId="0" applyFont="1" applyAlignment="1">
      <alignment horizontal="left"/>
    </xf>
    <xf numFmtId="4" fontId="23" fillId="0" borderId="0" xfId="0" applyNumberFormat="1" applyFont="1"/>
    <xf numFmtId="0" fontId="27" fillId="0" borderId="32" xfId="4" applyFont="1" applyFill="1" applyBorder="1" applyAlignment="1">
      <alignment horizontal="center" vertical="center" wrapText="1"/>
    </xf>
    <xf numFmtId="4" fontId="24" fillId="0" borderId="14" xfId="0" applyNumberFormat="1" applyFont="1" applyBorder="1"/>
    <xf numFmtId="0" fontId="24" fillId="0" borderId="31" xfId="0" applyFont="1" applyBorder="1"/>
    <xf numFmtId="3" fontId="27" fillId="0" borderId="33" xfId="4" applyNumberFormat="1" applyFont="1" applyFill="1" applyBorder="1" applyAlignment="1">
      <alignment horizontal="center" vertical="center" wrapText="1"/>
    </xf>
    <xf numFmtId="0" fontId="24" fillId="0" borderId="13" xfId="0" applyFont="1" applyBorder="1"/>
    <xf numFmtId="4" fontId="24" fillId="0" borderId="23" xfId="0" applyNumberFormat="1" applyFont="1" applyBorder="1"/>
    <xf numFmtId="0" fontId="24" fillId="0" borderId="20" xfId="0" applyFont="1" applyBorder="1"/>
    <xf numFmtId="4" fontId="24" fillId="0" borderId="21" xfId="0" applyNumberFormat="1" applyFont="1" applyBorder="1"/>
    <xf numFmtId="4" fontId="24" fillId="0" borderId="22" xfId="0" applyNumberFormat="1" applyFont="1" applyBorder="1"/>
    <xf numFmtId="0" fontId="6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4" fontId="28" fillId="3" borderId="15" xfId="4" applyNumberFormat="1" applyFont="1" applyFill="1" applyBorder="1" applyAlignment="1">
      <alignment horizontal="center" vertical="center"/>
    </xf>
    <xf numFmtId="4" fontId="28" fillId="3" borderId="17" xfId="4" applyNumberFormat="1" applyFont="1" applyFill="1" applyBorder="1" applyAlignment="1">
      <alignment horizontal="center" vertical="center"/>
    </xf>
    <xf numFmtId="4" fontId="28" fillId="0" borderId="15" xfId="4" applyNumberFormat="1" applyFont="1" applyFill="1" applyBorder="1" applyAlignment="1">
      <alignment horizontal="center" vertical="center"/>
    </xf>
    <xf numFmtId="4" fontId="28" fillId="0" borderId="17" xfId="4" applyNumberFormat="1" applyFont="1" applyFill="1" applyBorder="1" applyAlignment="1">
      <alignment horizontal="center" vertical="center"/>
    </xf>
    <xf numFmtId="4" fontId="28" fillId="0" borderId="16" xfId="4" applyNumberFormat="1" applyFont="1" applyFill="1" applyBorder="1" applyAlignment="1">
      <alignment horizontal="center" vertical="center"/>
    </xf>
    <xf numFmtId="4" fontId="28" fillId="0" borderId="18" xfId="4" applyNumberFormat="1" applyFont="1" applyFill="1" applyBorder="1" applyAlignment="1">
      <alignment horizontal="center" vertical="center"/>
    </xf>
    <xf numFmtId="0" fontId="27" fillId="0" borderId="2" xfId="3" applyFont="1" applyFill="1" applyBorder="1" applyAlignment="1">
      <alignment horizontal="center" vertical="center" wrapText="1"/>
    </xf>
    <xf numFmtId="0" fontId="27" fillId="0" borderId="5" xfId="3" applyFont="1" applyFill="1" applyBorder="1" applyAlignment="1">
      <alignment horizontal="center" vertical="center" wrapText="1"/>
    </xf>
    <xf numFmtId="0" fontId="27" fillId="0" borderId="6" xfId="3" applyFont="1" applyFill="1" applyBorder="1" applyAlignment="1">
      <alignment horizontal="center" vertical="center" wrapText="1"/>
    </xf>
    <xf numFmtId="0" fontId="27" fillId="0" borderId="3" xfId="3" applyFont="1" applyBorder="1" applyAlignment="1">
      <alignment horizontal="center" vertical="center"/>
    </xf>
    <xf numFmtId="0" fontId="27" fillId="0" borderId="4" xfId="3" applyFont="1" applyBorder="1" applyAlignment="1">
      <alignment horizontal="center" vertical="center"/>
    </xf>
    <xf numFmtId="3" fontId="28" fillId="0" borderId="13" xfId="4" applyNumberFormat="1" applyFont="1" applyFill="1" applyBorder="1" applyAlignment="1">
      <alignment horizontal="center" vertical="center" wrapText="1"/>
    </xf>
    <xf numFmtId="3" fontId="28" fillId="0" borderId="15" xfId="4" applyNumberFormat="1" applyFont="1" applyFill="1" applyBorder="1" applyAlignment="1">
      <alignment horizontal="center" vertical="center"/>
    </xf>
    <xf numFmtId="3" fontId="28" fillId="0" borderId="17" xfId="4" applyNumberFormat="1" applyFont="1" applyFill="1" applyBorder="1" applyAlignment="1">
      <alignment horizontal="center" vertical="center"/>
    </xf>
    <xf numFmtId="0" fontId="35" fillId="0" borderId="13" xfId="8" applyFont="1" applyFill="1" applyBorder="1" applyAlignment="1">
      <alignment horizontal="left" wrapText="1"/>
    </xf>
    <xf numFmtId="0" fontId="35" fillId="0" borderId="14" xfId="8" applyFont="1" applyFill="1" applyBorder="1" applyAlignment="1">
      <alignment horizontal="left" wrapText="1"/>
    </xf>
    <xf numFmtId="0" fontId="35" fillId="0" borderId="20" xfId="8" applyFont="1" applyFill="1" applyBorder="1" applyAlignment="1">
      <alignment horizontal="left" wrapText="1"/>
    </xf>
    <xf numFmtId="0" fontId="35" fillId="0" borderId="21" xfId="8" applyFont="1" applyFill="1" applyBorder="1" applyAlignment="1">
      <alignment horizontal="left" wrapText="1"/>
    </xf>
    <xf numFmtId="0" fontId="35" fillId="0" borderId="31" xfId="8" applyFont="1" applyFill="1" applyBorder="1" applyAlignment="1">
      <alignment horizontal="left" wrapText="1"/>
    </xf>
    <xf numFmtId="0" fontId="35" fillId="0" borderId="32" xfId="8" applyFont="1" applyFill="1" applyBorder="1" applyAlignment="1">
      <alignment horizontal="left" wrapText="1"/>
    </xf>
  </cellXfs>
  <cellStyles count="13">
    <cellStyle name="Обычный" xfId="0" builtinId="0"/>
    <cellStyle name="Обычный 11 2" xfId="7"/>
    <cellStyle name="Обычный 11 7" xfId="3"/>
    <cellStyle name="Обычный 2 2" xfId="5"/>
    <cellStyle name="Обычный 2 2 3 2" xfId="10"/>
    <cellStyle name="Обычный 3" xfId="2"/>
    <cellStyle name="Обычный 3 3" xfId="9"/>
    <cellStyle name="Обычный 83" xfId="12"/>
    <cellStyle name="Обычный 84" xfId="11"/>
    <cellStyle name="Обычный 90" xfId="6"/>
    <cellStyle name="Обычный_5_А_2007_ЮЖНОЕ_N_ДР_АКТЫ" xfId="8"/>
    <cellStyle name="Обычный_бюджет 2008 (11.02.08) на утверждение 2" xfId="4"/>
    <cellStyle name="Обычный_тарифы город=фак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nt\&#1092;&#1086;\&#1055;&#1083;&#1072;&#1090;&#1105;&#1078;&#1085;&#1099;&#1081;%20&#1082;&#1072;&#1083;&#1077;&#1085;&#1076;&#1072;&#1088;&#1100;%202008%20&#1047;&#1040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ы"/>
      <sheetName val="пошлины (2)"/>
      <sheetName val="плат.календарь"/>
      <sheetName val="движение остатков"/>
      <sheetName val="ЗО_301208"/>
      <sheetName val="срочные"/>
      <sheetName val="Взаимозачеты"/>
      <sheetName val="оплаты_06-21.11"/>
      <sheetName val="%%"/>
      <sheetName val="кредит и %"/>
      <sheetName val="компенсации"/>
      <sheetName val="план поступлений"/>
      <sheetName val="рег_платежи"/>
      <sheetName val="оплата НДС"/>
      <sheetName val="оплата НДФЛ"/>
      <sheetName val="претензии"/>
      <sheetName val="картотека"/>
      <sheetName val="пошли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opLeftCell="A13" zoomScale="60" zoomScaleNormal="60" zoomScaleSheetLayoutView="80" workbookViewId="0">
      <selection activeCell="O11" sqref="O11"/>
    </sheetView>
  </sheetViews>
  <sheetFormatPr defaultRowHeight="14.4" x14ac:dyDescent="0.3"/>
  <cols>
    <col min="1" max="1" width="6.33203125" customWidth="1"/>
    <col min="2" max="2" width="81" customWidth="1"/>
    <col min="3" max="3" width="15.88671875" customWidth="1"/>
    <col min="4" max="7" width="20.77734375" customWidth="1"/>
  </cols>
  <sheetData>
    <row r="1" spans="1:7" ht="21" x14ac:dyDescent="0.4">
      <c r="A1" s="1"/>
      <c r="B1" s="4"/>
      <c r="C1" s="1"/>
      <c r="D1" s="2"/>
      <c r="E1" s="2"/>
      <c r="F1" s="2"/>
      <c r="G1" s="2"/>
    </row>
    <row r="2" spans="1:7" ht="17.399999999999999" x14ac:dyDescent="0.3">
      <c r="A2" s="6"/>
      <c r="B2" s="172" t="s">
        <v>35</v>
      </c>
      <c r="C2" s="172"/>
      <c r="D2" s="172"/>
      <c r="E2" s="172"/>
      <c r="F2" s="172"/>
      <c r="G2" s="172"/>
    </row>
    <row r="3" spans="1:7" ht="17.399999999999999" x14ac:dyDescent="0.3">
      <c r="A3" s="6"/>
      <c r="B3" s="172" t="s">
        <v>34</v>
      </c>
      <c r="C3" s="172"/>
      <c r="D3" s="172"/>
      <c r="E3" s="172"/>
      <c r="F3" s="172"/>
      <c r="G3" s="172"/>
    </row>
    <row r="4" spans="1:7" ht="20.399999999999999" x14ac:dyDescent="0.35">
      <c r="A4" s="6"/>
      <c r="B4" s="173" t="s">
        <v>33</v>
      </c>
      <c r="C4" s="173"/>
      <c r="D4" s="173"/>
      <c r="E4" s="173"/>
      <c r="F4" s="173"/>
      <c r="G4" s="173"/>
    </row>
    <row r="5" spans="1:7" ht="21" customHeight="1" x14ac:dyDescent="0.35">
      <c r="A5" s="6"/>
      <c r="B5" s="173" t="s">
        <v>0</v>
      </c>
      <c r="C5" s="173"/>
      <c r="D5" s="173"/>
      <c r="E5" s="173"/>
      <c r="F5" s="173"/>
      <c r="G5" s="173"/>
    </row>
    <row r="6" spans="1:7" ht="17.399999999999999" x14ac:dyDescent="0.3">
      <c r="A6" s="6"/>
      <c r="B6" s="172" t="s">
        <v>36</v>
      </c>
      <c r="C6" s="172"/>
      <c r="D6" s="172"/>
      <c r="E6" s="172"/>
      <c r="F6" s="172"/>
      <c r="G6" s="172"/>
    </row>
    <row r="7" spans="1:7" x14ac:dyDescent="0.3">
      <c r="A7" s="1" t="s">
        <v>1</v>
      </c>
      <c r="B7" s="8"/>
      <c r="C7" s="7"/>
      <c r="D7" s="9"/>
      <c r="E7" s="9"/>
      <c r="F7" s="9"/>
      <c r="G7" s="9"/>
    </row>
    <row r="8" spans="1:7" ht="46.8" x14ac:dyDescent="0.3">
      <c r="A8" s="10"/>
      <c r="B8" s="11" t="s">
        <v>2</v>
      </c>
      <c r="C8" s="11" t="s">
        <v>3</v>
      </c>
      <c r="D8" s="12" t="s">
        <v>29</v>
      </c>
      <c r="E8" s="12" t="s">
        <v>30</v>
      </c>
      <c r="F8" s="12" t="s">
        <v>31</v>
      </c>
      <c r="G8" s="12" t="s">
        <v>32</v>
      </c>
    </row>
    <row r="9" spans="1:7" ht="42" customHeight="1" x14ac:dyDescent="0.3">
      <c r="A9" s="13" t="s">
        <v>4</v>
      </c>
      <c r="B9" s="14" t="s">
        <v>5</v>
      </c>
      <c r="C9" s="13"/>
      <c r="D9" s="15">
        <f>SUM(D10:D23)</f>
        <v>32.739999999999995</v>
      </c>
      <c r="E9" s="15">
        <f>SUM(E10:E23)</f>
        <v>41.535969345272633</v>
      </c>
      <c r="F9" s="15">
        <f>E9-D9</f>
        <v>8.7959693452726384</v>
      </c>
      <c r="G9" s="15">
        <f>E9/D9*100-100</f>
        <v>26.866125061920101</v>
      </c>
    </row>
    <row r="10" spans="1:7" ht="39" customHeight="1" x14ac:dyDescent="0.35">
      <c r="A10" s="16"/>
      <c r="B10" s="17" t="s">
        <v>6</v>
      </c>
      <c r="C10" s="18" t="s">
        <v>7</v>
      </c>
      <c r="D10" s="91">
        <v>6.52</v>
      </c>
      <c r="E10" s="91">
        <f>Разъяснения!Q13</f>
        <v>7.6734104112369161</v>
      </c>
      <c r="F10" s="91">
        <f t="shared" ref="F10:F23" si="0">E10-D10</f>
        <v>1.1534104112369166</v>
      </c>
      <c r="G10" s="91">
        <f t="shared" ref="G10:G23" si="1">E10/D10*100-100</f>
        <v>17.690343730627561</v>
      </c>
    </row>
    <row r="11" spans="1:7" ht="39" customHeight="1" x14ac:dyDescent="0.3">
      <c r="A11" s="20"/>
      <c r="B11" s="17" t="s">
        <v>8</v>
      </c>
      <c r="C11" s="18" t="s">
        <v>7</v>
      </c>
      <c r="D11" s="92">
        <v>3.01</v>
      </c>
      <c r="E11" s="92">
        <v>4</v>
      </c>
      <c r="F11" s="92">
        <f t="shared" si="0"/>
        <v>0.99000000000000021</v>
      </c>
      <c r="G11" s="92">
        <f t="shared" si="1"/>
        <v>32.89036544850498</v>
      </c>
    </row>
    <row r="12" spans="1:7" ht="39" customHeight="1" x14ac:dyDescent="0.35">
      <c r="A12" s="21"/>
      <c r="B12" s="17" t="s">
        <v>9</v>
      </c>
      <c r="C12" s="18" t="s">
        <v>7</v>
      </c>
      <c r="D12" s="142">
        <v>4.03</v>
      </c>
      <c r="E12" s="142">
        <f>Разъяснения!H23</f>
        <v>5.1652168771411784</v>
      </c>
      <c r="F12" s="142">
        <f t="shared" si="0"/>
        <v>1.1352168771411781</v>
      </c>
      <c r="G12" s="142">
        <f t="shared" si="1"/>
        <v>28.169153278937443</v>
      </c>
    </row>
    <row r="13" spans="1:7" ht="39" customHeight="1" x14ac:dyDescent="0.35">
      <c r="A13" s="21"/>
      <c r="B13" s="17" t="s">
        <v>10</v>
      </c>
      <c r="C13" s="18" t="s">
        <v>7</v>
      </c>
      <c r="D13" s="92">
        <v>3.14</v>
      </c>
      <c r="E13" s="92">
        <f>Разъяснения!H25</f>
        <v>4.0108338614023387</v>
      </c>
      <c r="F13" s="92">
        <f t="shared" si="0"/>
        <v>0.87083386140233854</v>
      </c>
      <c r="G13" s="92">
        <f t="shared" si="1"/>
        <v>27.733562465042638</v>
      </c>
    </row>
    <row r="14" spans="1:7" ht="39" customHeight="1" x14ac:dyDescent="0.35">
      <c r="A14" s="21"/>
      <c r="B14" s="22" t="s">
        <v>11</v>
      </c>
      <c r="C14" s="23" t="s">
        <v>7</v>
      </c>
      <c r="D14" s="19">
        <v>0.34</v>
      </c>
      <c r="E14" s="19">
        <v>0.34</v>
      </c>
      <c r="F14" s="19">
        <f t="shared" si="0"/>
        <v>0</v>
      </c>
      <c r="G14" s="19">
        <f t="shared" si="1"/>
        <v>0</v>
      </c>
    </row>
    <row r="15" spans="1:7" ht="39" customHeight="1" x14ac:dyDescent="0.35">
      <c r="A15" s="21"/>
      <c r="B15" s="22" t="s">
        <v>12</v>
      </c>
      <c r="C15" s="23" t="s">
        <v>7</v>
      </c>
      <c r="D15" s="19">
        <v>0.34</v>
      </c>
      <c r="E15" s="19">
        <v>0.34</v>
      </c>
      <c r="F15" s="19">
        <f t="shared" si="0"/>
        <v>0</v>
      </c>
      <c r="G15" s="19">
        <f t="shared" si="1"/>
        <v>0</v>
      </c>
    </row>
    <row r="16" spans="1:7" ht="39" customHeight="1" x14ac:dyDescent="0.35">
      <c r="A16" s="21"/>
      <c r="B16" s="22" t="s">
        <v>13</v>
      </c>
      <c r="C16" s="23" t="s">
        <v>7</v>
      </c>
      <c r="D16" s="19">
        <v>0.4</v>
      </c>
      <c r="E16" s="19">
        <v>0.4</v>
      </c>
      <c r="F16" s="19">
        <f t="shared" si="0"/>
        <v>0</v>
      </c>
      <c r="G16" s="19">
        <f t="shared" si="1"/>
        <v>0</v>
      </c>
    </row>
    <row r="17" spans="1:7" ht="39" customHeight="1" x14ac:dyDescent="0.35">
      <c r="A17" s="21"/>
      <c r="B17" s="17" t="s">
        <v>14</v>
      </c>
      <c r="C17" s="18" t="s">
        <v>7</v>
      </c>
      <c r="D17" s="19">
        <v>7.0000000000000007E-2</v>
      </c>
      <c r="E17" s="19">
        <v>7.0000000000000007E-2</v>
      </c>
      <c r="F17" s="19">
        <f t="shared" si="0"/>
        <v>0</v>
      </c>
      <c r="G17" s="19">
        <f t="shared" si="1"/>
        <v>0</v>
      </c>
    </row>
    <row r="18" spans="1:7" ht="39" customHeight="1" x14ac:dyDescent="0.35">
      <c r="A18" s="21"/>
      <c r="B18" s="17" t="s">
        <v>15</v>
      </c>
      <c r="C18" s="18" t="s">
        <v>7</v>
      </c>
      <c r="D18" s="19">
        <v>0.54</v>
      </c>
      <c r="E18" s="19">
        <v>0.54</v>
      </c>
      <c r="F18" s="19">
        <f t="shared" si="0"/>
        <v>0</v>
      </c>
      <c r="G18" s="19">
        <f t="shared" si="1"/>
        <v>0</v>
      </c>
    </row>
    <row r="19" spans="1:7" ht="39" customHeight="1" x14ac:dyDescent="0.35">
      <c r="A19" s="21"/>
      <c r="B19" s="17" t="s">
        <v>16</v>
      </c>
      <c r="C19" s="18" t="s">
        <v>7</v>
      </c>
      <c r="D19" s="19">
        <v>0.06</v>
      </c>
      <c r="E19" s="19">
        <v>0.06</v>
      </c>
      <c r="F19" s="19">
        <f t="shared" si="0"/>
        <v>0</v>
      </c>
      <c r="G19" s="19">
        <f t="shared" si="1"/>
        <v>0</v>
      </c>
    </row>
    <row r="20" spans="1:7" ht="39" customHeight="1" x14ac:dyDescent="0.35">
      <c r="A20" s="21"/>
      <c r="B20" s="22" t="s">
        <v>17</v>
      </c>
      <c r="C20" s="23" t="s">
        <v>7</v>
      </c>
      <c r="D20" s="91">
        <v>2.2599999999999998</v>
      </c>
      <c r="E20" s="91">
        <f>Лифты_формула!E33</f>
        <v>4.7053918213902106</v>
      </c>
      <c r="F20" s="91">
        <f t="shared" si="0"/>
        <v>2.4453918213902108</v>
      </c>
      <c r="G20" s="91">
        <f t="shared" si="1"/>
        <v>108.20317793761998</v>
      </c>
    </row>
    <row r="21" spans="1:7" ht="39" customHeight="1" x14ac:dyDescent="0.35">
      <c r="A21" s="21"/>
      <c r="B21" s="24" t="s">
        <v>27</v>
      </c>
      <c r="C21" s="23" t="s">
        <v>7</v>
      </c>
      <c r="D21" s="91">
        <v>5.64</v>
      </c>
      <c r="E21" s="91">
        <v>6.64</v>
      </c>
      <c r="F21" s="91">
        <f t="shared" si="0"/>
        <v>1</v>
      </c>
      <c r="G21" s="91">
        <f t="shared" si="1"/>
        <v>17.730496453900699</v>
      </c>
    </row>
    <row r="22" spans="1:7" ht="39" customHeight="1" x14ac:dyDescent="0.35">
      <c r="A22" s="21"/>
      <c r="B22" s="17" t="s">
        <v>18</v>
      </c>
      <c r="C22" s="18" t="s">
        <v>7</v>
      </c>
      <c r="D22" s="92">
        <v>1.45</v>
      </c>
      <c r="E22" s="92">
        <f>Разъяснения!Q18</f>
        <v>1.7971431036617369</v>
      </c>
      <c r="F22" s="92">
        <f t="shared" si="0"/>
        <v>0.34714310366173695</v>
      </c>
      <c r="G22" s="92">
        <f t="shared" si="1"/>
        <v>23.940903700809429</v>
      </c>
    </row>
    <row r="23" spans="1:7" ht="39" customHeight="1" x14ac:dyDescent="0.35">
      <c r="A23" s="21"/>
      <c r="B23" s="25" t="s">
        <v>19</v>
      </c>
      <c r="C23" s="23" t="s">
        <v>7</v>
      </c>
      <c r="D23" s="91">
        <v>4.9400000000000004</v>
      </c>
      <c r="E23" s="91">
        <f>Охрана!J18</f>
        <v>5.7939732704402518</v>
      </c>
      <c r="F23" s="91">
        <f t="shared" si="0"/>
        <v>0.8539732704402514</v>
      </c>
      <c r="G23" s="91">
        <f t="shared" si="1"/>
        <v>17.286908308507122</v>
      </c>
    </row>
  </sheetData>
  <mergeCells count="5">
    <mergeCell ref="B2:G2"/>
    <mergeCell ref="B4:G4"/>
    <mergeCell ref="B6:G6"/>
    <mergeCell ref="B5:G5"/>
    <mergeCell ref="B3:G3"/>
  </mergeCells>
  <pageMargins left="0.25" right="0.25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zoomScale="60" zoomScaleNormal="60" zoomScaleSheetLayoutView="70" workbookViewId="0">
      <selection activeCell="O10" sqref="O10"/>
    </sheetView>
  </sheetViews>
  <sheetFormatPr defaultRowHeight="14.4" x14ac:dyDescent="0.3"/>
  <cols>
    <col min="1" max="1" width="6.33203125" customWidth="1"/>
    <col min="2" max="2" width="81" customWidth="1"/>
    <col min="3" max="3" width="13.88671875" customWidth="1"/>
    <col min="4" max="7" width="21.88671875" customWidth="1"/>
  </cols>
  <sheetData>
    <row r="1" spans="1:7" ht="21" x14ac:dyDescent="0.4">
      <c r="A1" s="1"/>
      <c r="B1" s="4"/>
      <c r="C1" s="1"/>
      <c r="D1" s="2"/>
      <c r="E1" s="3"/>
      <c r="F1" s="5"/>
    </row>
    <row r="2" spans="1:7" ht="17.399999999999999" x14ac:dyDescent="0.3">
      <c r="A2" s="6"/>
      <c r="B2" s="172" t="s">
        <v>35</v>
      </c>
      <c r="C2" s="172"/>
      <c r="D2" s="172"/>
      <c r="E2" s="172"/>
      <c r="F2" s="172"/>
      <c r="G2" s="172"/>
    </row>
    <row r="3" spans="1:7" ht="17.399999999999999" x14ac:dyDescent="0.3">
      <c r="A3" s="6"/>
      <c r="B3" s="172" t="s">
        <v>40</v>
      </c>
      <c r="C3" s="172"/>
      <c r="D3" s="172"/>
      <c r="E3" s="172"/>
      <c r="F3" s="172"/>
      <c r="G3" s="172"/>
    </row>
    <row r="4" spans="1:7" ht="20.399999999999999" x14ac:dyDescent="0.35">
      <c r="A4" s="6"/>
      <c r="B4" s="173" t="s">
        <v>33</v>
      </c>
      <c r="C4" s="173"/>
      <c r="D4" s="173"/>
      <c r="E4" s="173"/>
      <c r="F4" s="173"/>
      <c r="G4" s="173"/>
    </row>
    <row r="5" spans="1:7" ht="21" customHeight="1" x14ac:dyDescent="0.35">
      <c r="A5" s="6"/>
      <c r="B5" s="173" t="s">
        <v>0</v>
      </c>
      <c r="C5" s="173"/>
      <c r="D5" s="173"/>
      <c r="E5" s="173"/>
      <c r="F5" s="173"/>
      <c r="G5" s="173"/>
    </row>
    <row r="6" spans="1:7" ht="17.399999999999999" x14ac:dyDescent="0.3">
      <c r="A6" s="6"/>
      <c r="B6" s="172" t="s">
        <v>41</v>
      </c>
      <c r="C6" s="172"/>
      <c r="D6" s="172"/>
      <c r="E6" s="172"/>
      <c r="F6" s="172"/>
      <c r="G6" s="172"/>
    </row>
    <row r="7" spans="1:7" x14ac:dyDescent="0.3">
      <c r="A7" s="1" t="s">
        <v>1</v>
      </c>
      <c r="B7" s="8"/>
      <c r="C7" s="7"/>
      <c r="D7" s="9"/>
      <c r="E7" s="3"/>
      <c r="F7" s="7"/>
    </row>
    <row r="8" spans="1:7" ht="46.8" x14ac:dyDescent="0.3">
      <c r="A8" s="10"/>
      <c r="B8" s="11" t="s">
        <v>2</v>
      </c>
      <c r="C8" s="11" t="s">
        <v>3</v>
      </c>
      <c r="D8" s="12" t="s">
        <v>29</v>
      </c>
      <c r="E8" s="12" t="s">
        <v>30</v>
      </c>
      <c r="F8" s="12" t="s">
        <v>31</v>
      </c>
      <c r="G8" s="12" t="s">
        <v>32</v>
      </c>
    </row>
    <row r="9" spans="1:7" ht="32.1" customHeight="1" x14ac:dyDescent="0.3">
      <c r="A9" s="13" t="s">
        <v>4</v>
      </c>
      <c r="B9" s="14" t="s">
        <v>37</v>
      </c>
      <c r="C9" s="13"/>
      <c r="D9" s="15">
        <f>SUM(D10:D20)</f>
        <v>26.11</v>
      </c>
      <c r="E9" s="15">
        <f>SUM(E10:E20)-0.01</f>
        <v>31.315360646741237</v>
      </c>
      <c r="F9" s="15">
        <f>E9-D9</f>
        <v>5.2053606467412372</v>
      </c>
      <c r="G9" s="15">
        <f>E9/D9*100-100</f>
        <v>19.936272105481564</v>
      </c>
    </row>
    <row r="10" spans="1:7" ht="40.799999999999997" customHeight="1" x14ac:dyDescent="0.35">
      <c r="A10" s="16"/>
      <c r="B10" s="17" t="s">
        <v>6</v>
      </c>
      <c r="C10" s="18" t="s">
        <v>7</v>
      </c>
      <c r="D10" s="91">
        <v>6.52</v>
      </c>
      <c r="E10" s="91">
        <f>Разъяснения!Q13</f>
        <v>7.6734104112369161</v>
      </c>
      <c r="F10" s="91">
        <f t="shared" ref="F10:F20" si="0">E10-D10</f>
        <v>1.1534104112369166</v>
      </c>
      <c r="G10" s="91">
        <f t="shared" ref="G10:G20" si="1">E10/D10*100-100</f>
        <v>17.690343730627561</v>
      </c>
    </row>
    <row r="11" spans="1:7" ht="40.799999999999997" customHeight="1" x14ac:dyDescent="0.3">
      <c r="A11" s="20"/>
      <c r="B11" s="17" t="s">
        <v>8</v>
      </c>
      <c r="C11" s="18" t="s">
        <v>7</v>
      </c>
      <c r="D11" s="92">
        <v>3.01</v>
      </c>
      <c r="E11" s="92">
        <v>4</v>
      </c>
      <c r="F11" s="92">
        <f t="shared" si="0"/>
        <v>0.99000000000000021</v>
      </c>
      <c r="G11" s="92">
        <f t="shared" si="1"/>
        <v>32.89036544850498</v>
      </c>
    </row>
    <row r="12" spans="1:7" ht="40.799999999999997" customHeight="1" x14ac:dyDescent="0.35">
      <c r="A12" s="21"/>
      <c r="B12" s="17" t="s">
        <v>10</v>
      </c>
      <c r="C12" s="18" t="s">
        <v>7</v>
      </c>
      <c r="D12" s="92">
        <v>3.14</v>
      </c>
      <c r="E12" s="92">
        <f>Разъяснения!H25</f>
        <v>4.0108338614023387</v>
      </c>
      <c r="F12" s="92">
        <f t="shared" si="0"/>
        <v>0.87083386140233854</v>
      </c>
      <c r="G12" s="92">
        <f t="shared" si="1"/>
        <v>27.733562465042638</v>
      </c>
    </row>
    <row r="13" spans="1:7" ht="40.799999999999997" customHeight="1" x14ac:dyDescent="0.35">
      <c r="A13" s="21"/>
      <c r="B13" s="22" t="s">
        <v>12</v>
      </c>
      <c r="C13" s="23" t="s">
        <v>7</v>
      </c>
      <c r="D13" s="19">
        <v>0.34</v>
      </c>
      <c r="E13" s="19">
        <v>0.34</v>
      </c>
      <c r="F13" s="19">
        <f t="shared" si="0"/>
        <v>0</v>
      </c>
      <c r="G13" s="19">
        <f t="shared" si="1"/>
        <v>0</v>
      </c>
    </row>
    <row r="14" spans="1:7" ht="40.799999999999997" customHeight="1" x14ac:dyDescent="0.35">
      <c r="A14" s="21"/>
      <c r="B14" s="22" t="s">
        <v>13</v>
      </c>
      <c r="C14" s="23" t="s">
        <v>7</v>
      </c>
      <c r="D14" s="19">
        <v>0.4</v>
      </c>
      <c r="E14" s="19">
        <v>0.4</v>
      </c>
      <c r="F14" s="19">
        <f t="shared" si="0"/>
        <v>0</v>
      </c>
      <c r="G14" s="19">
        <f t="shared" si="1"/>
        <v>0</v>
      </c>
    </row>
    <row r="15" spans="1:7" ht="40.799999999999997" customHeight="1" x14ac:dyDescent="0.35">
      <c r="A15" s="21"/>
      <c r="B15" s="17" t="s">
        <v>14</v>
      </c>
      <c r="C15" s="18" t="s">
        <v>7</v>
      </c>
      <c r="D15" s="19">
        <v>7.0000000000000007E-2</v>
      </c>
      <c r="E15" s="19">
        <v>7.0000000000000007E-2</v>
      </c>
      <c r="F15" s="19">
        <f t="shared" si="0"/>
        <v>0</v>
      </c>
      <c r="G15" s="19">
        <f t="shared" si="1"/>
        <v>0</v>
      </c>
    </row>
    <row r="16" spans="1:7" ht="40.799999999999997" customHeight="1" x14ac:dyDescent="0.35">
      <c r="A16" s="21"/>
      <c r="B16" s="17" t="s">
        <v>15</v>
      </c>
      <c r="C16" s="18" t="s">
        <v>7</v>
      </c>
      <c r="D16" s="19">
        <v>0.54</v>
      </c>
      <c r="E16" s="19">
        <v>0.54</v>
      </c>
      <c r="F16" s="19">
        <f t="shared" si="0"/>
        <v>0</v>
      </c>
      <c r="G16" s="19">
        <f t="shared" si="1"/>
        <v>0</v>
      </c>
    </row>
    <row r="17" spans="1:7" ht="40.799999999999997" customHeight="1" x14ac:dyDescent="0.35">
      <c r="A17" s="21"/>
      <c r="B17" s="17" t="s">
        <v>16</v>
      </c>
      <c r="C17" s="18" t="s">
        <v>7</v>
      </c>
      <c r="D17" s="19">
        <v>0.06</v>
      </c>
      <c r="E17" s="19">
        <v>0.06</v>
      </c>
      <c r="F17" s="19">
        <f t="shared" si="0"/>
        <v>0</v>
      </c>
      <c r="G17" s="19">
        <f t="shared" si="1"/>
        <v>0</v>
      </c>
    </row>
    <row r="18" spans="1:7" ht="40.799999999999997" customHeight="1" x14ac:dyDescent="0.35">
      <c r="A18" s="21"/>
      <c r="B18" s="24" t="s">
        <v>27</v>
      </c>
      <c r="C18" s="23" t="s">
        <v>7</v>
      </c>
      <c r="D18" s="91">
        <v>5.64</v>
      </c>
      <c r="E18" s="91">
        <v>6.64</v>
      </c>
      <c r="F18" s="91">
        <f t="shared" si="0"/>
        <v>1</v>
      </c>
      <c r="G18" s="91">
        <f t="shared" si="1"/>
        <v>17.730496453900699</v>
      </c>
    </row>
    <row r="19" spans="1:7" ht="40.799999999999997" customHeight="1" x14ac:dyDescent="0.35">
      <c r="A19" s="21"/>
      <c r="B19" s="17" t="s">
        <v>18</v>
      </c>
      <c r="C19" s="18" t="s">
        <v>7</v>
      </c>
      <c r="D19" s="92">
        <v>1.45</v>
      </c>
      <c r="E19" s="92">
        <f>Разъяснения!Q18</f>
        <v>1.7971431036617369</v>
      </c>
      <c r="F19" s="92">
        <f t="shared" si="0"/>
        <v>0.34714310366173695</v>
      </c>
      <c r="G19" s="92">
        <f t="shared" si="1"/>
        <v>23.940903700809429</v>
      </c>
    </row>
    <row r="20" spans="1:7" ht="40.799999999999997" customHeight="1" x14ac:dyDescent="0.35">
      <c r="A20" s="21"/>
      <c r="B20" s="25" t="s">
        <v>19</v>
      </c>
      <c r="C20" s="23" t="s">
        <v>7</v>
      </c>
      <c r="D20" s="91">
        <v>4.9400000000000004</v>
      </c>
      <c r="E20" s="91">
        <f>Охрана!J19</f>
        <v>5.7939732704402527</v>
      </c>
      <c r="F20" s="91">
        <f t="shared" si="0"/>
        <v>0.85397327044025229</v>
      </c>
      <c r="G20" s="91">
        <f t="shared" si="1"/>
        <v>17.286908308507122</v>
      </c>
    </row>
  </sheetData>
  <mergeCells count="5">
    <mergeCell ref="B2:G2"/>
    <mergeCell ref="B3:G3"/>
    <mergeCell ref="B4:G4"/>
    <mergeCell ref="B5:G5"/>
    <mergeCell ref="B6:G6"/>
  </mergeCells>
  <pageMargins left="0.25" right="0.25" top="0.75" bottom="0.75" header="0.3" footer="0.3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zoomScale="60" zoomScaleNormal="60" zoomScaleSheetLayoutView="70" workbookViewId="0">
      <selection activeCell="Q9" sqref="Q9"/>
    </sheetView>
  </sheetViews>
  <sheetFormatPr defaultRowHeight="14.4" x14ac:dyDescent="0.3"/>
  <cols>
    <col min="1" max="1" width="6.109375" customWidth="1"/>
    <col min="2" max="2" width="81" customWidth="1"/>
    <col min="3" max="3" width="13.88671875" customWidth="1"/>
    <col min="4" max="7" width="22.109375" customWidth="1"/>
  </cols>
  <sheetData>
    <row r="1" spans="1:7" ht="49.5" customHeight="1" x14ac:dyDescent="0.4">
      <c r="A1" s="1"/>
      <c r="B1" s="4"/>
      <c r="C1" s="1"/>
      <c r="D1" s="2"/>
      <c r="E1" s="3"/>
      <c r="F1" s="5"/>
    </row>
    <row r="2" spans="1:7" ht="17.399999999999999" x14ac:dyDescent="0.3">
      <c r="A2" s="6"/>
      <c r="B2" s="172" t="s">
        <v>35</v>
      </c>
      <c r="C2" s="172"/>
      <c r="D2" s="172"/>
      <c r="E2" s="172"/>
      <c r="F2" s="172"/>
      <c r="G2" s="172"/>
    </row>
    <row r="3" spans="1:7" ht="17.399999999999999" x14ac:dyDescent="0.3">
      <c r="A3" s="6"/>
      <c r="B3" s="172" t="s">
        <v>34</v>
      </c>
      <c r="C3" s="172"/>
      <c r="D3" s="172"/>
      <c r="E3" s="172"/>
      <c r="F3" s="172"/>
      <c r="G3" s="172"/>
    </row>
    <row r="4" spans="1:7" ht="20.399999999999999" x14ac:dyDescent="0.35">
      <c r="A4" s="6"/>
      <c r="B4" s="173" t="s">
        <v>33</v>
      </c>
      <c r="C4" s="173"/>
      <c r="D4" s="173"/>
      <c r="E4" s="173"/>
      <c r="F4" s="173"/>
      <c r="G4" s="173"/>
    </row>
    <row r="5" spans="1:7" ht="21" customHeight="1" x14ac:dyDescent="0.35">
      <c r="A5" s="6"/>
      <c r="B5" s="173" t="s">
        <v>0</v>
      </c>
      <c r="C5" s="173"/>
      <c r="D5" s="173"/>
      <c r="E5" s="173"/>
      <c r="F5" s="173"/>
      <c r="G5" s="173"/>
    </row>
    <row r="6" spans="1:7" ht="17.399999999999999" x14ac:dyDescent="0.3">
      <c r="A6" s="6"/>
      <c r="B6" s="172" t="s">
        <v>39</v>
      </c>
      <c r="C6" s="172"/>
      <c r="D6" s="172"/>
      <c r="E6" s="172"/>
      <c r="F6" s="172"/>
      <c r="G6" s="172"/>
    </row>
    <row r="7" spans="1:7" x14ac:dyDescent="0.3">
      <c r="A7" s="1"/>
      <c r="B7" s="8"/>
      <c r="C7" s="7"/>
      <c r="D7" s="9"/>
      <c r="E7" s="3"/>
      <c r="F7" s="7"/>
    </row>
    <row r="8" spans="1:7" ht="50.25" customHeight="1" x14ac:dyDescent="0.3">
      <c r="A8" s="10"/>
      <c r="B8" s="11" t="s">
        <v>2</v>
      </c>
      <c r="C8" s="11" t="s">
        <v>3</v>
      </c>
      <c r="D8" s="12" t="s">
        <v>29</v>
      </c>
      <c r="E8" s="12" t="s">
        <v>30</v>
      </c>
      <c r="F8" s="12" t="s">
        <v>38</v>
      </c>
      <c r="G8" s="12" t="s">
        <v>32</v>
      </c>
    </row>
    <row r="9" spans="1:7" ht="33.75" customHeight="1" x14ac:dyDescent="0.3">
      <c r="A9" s="13" t="s">
        <v>4</v>
      </c>
      <c r="B9" s="14" t="s">
        <v>20</v>
      </c>
      <c r="C9" s="13"/>
      <c r="D9" s="15">
        <f>SUM(D10:D24)</f>
        <v>1463.5</v>
      </c>
      <c r="E9" s="15">
        <f>SUM(E10:E24)+0.01</f>
        <v>1747.2333659873736</v>
      </c>
      <c r="F9" s="15">
        <f>E9-D9</f>
        <v>283.73336598737365</v>
      </c>
      <c r="G9" s="15">
        <f>E9/D9*100-100</f>
        <v>19.387315749051837</v>
      </c>
    </row>
    <row r="10" spans="1:7" ht="42" customHeight="1" x14ac:dyDescent="0.35">
      <c r="A10" s="16"/>
      <c r="B10" s="17" t="s">
        <v>6</v>
      </c>
      <c r="C10" s="18" t="s">
        <v>21</v>
      </c>
      <c r="D10" s="91">
        <v>222.74</v>
      </c>
      <c r="E10" s="91">
        <f>Разъяснения!Q13*Разъяснения!B9</f>
        <v>262.14602229632209</v>
      </c>
      <c r="F10" s="91">
        <f t="shared" ref="F10:F24" si="0">E10-D10</f>
        <v>39.406022296322078</v>
      </c>
      <c r="G10" s="91">
        <f t="shared" ref="G10:G24" si="1">E10/D10*100-100</f>
        <v>17.691488864291131</v>
      </c>
    </row>
    <row r="11" spans="1:7" ht="42" customHeight="1" x14ac:dyDescent="0.3">
      <c r="A11" s="20"/>
      <c r="B11" s="17" t="s">
        <v>8</v>
      </c>
      <c r="C11" s="18" t="s">
        <v>21</v>
      </c>
      <c r="D11" s="92">
        <v>102.81</v>
      </c>
      <c r="E11" s="92">
        <f>4*Разъяснения!B9</f>
        <v>136.65163636363636</v>
      </c>
      <c r="F11" s="92">
        <f t="shared" si="0"/>
        <v>33.841636363636354</v>
      </c>
      <c r="G11" s="92">
        <f t="shared" si="1"/>
        <v>32.916677719712425</v>
      </c>
    </row>
    <row r="12" spans="1:7" ht="42" customHeight="1" x14ac:dyDescent="0.35">
      <c r="A12" s="21"/>
      <c r="B12" s="17" t="s">
        <v>10</v>
      </c>
      <c r="C12" s="18" t="s">
        <v>21</v>
      </c>
      <c r="D12" s="142">
        <v>107.27</v>
      </c>
      <c r="E12" s="142">
        <f>Разъяснения!H25*Разъяснения!B9</f>
        <v>137.02175258582795</v>
      </c>
      <c r="F12" s="142">
        <f t="shared" si="0"/>
        <v>29.751752585827958</v>
      </c>
      <c r="G12" s="142">
        <f t="shared" si="1"/>
        <v>27.735389750934985</v>
      </c>
    </row>
    <row r="13" spans="1:7" ht="42" customHeight="1" x14ac:dyDescent="0.35">
      <c r="A13" s="21"/>
      <c r="B13" s="17" t="s">
        <v>22</v>
      </c>
      <c r="C13" s="18" t="s">
        <v>21</v>
      </c>
      <c r="D13" s="92">
        <v>137.68</v>
      </c>
      <c r="E13" s="92">
        <f>Разъяснения!H23*Разъяснения!B9</f>
        <v>176.45883460860341</v>
      </c>
      <c r="F13" s="92">
        <f t="shared" si="0"/>
        <v>38.778834608603404</v>
      </c>
      <c r="G13" s="92">
        <f t="shared" si="1"/>
        <v>28.1659170602872</v>
      </c>
    </row>
    <row r="14" spans="1:7" ht="42" customHeight="1" x14ac:dyDescent="0.35">
      <c r="A14" s="21"/>
      <c r="B14" s="22" t="s">
        <v>13</v>
      </c>
      <c r="C14" s="18" t="s">
        <v>21</v>
      </c>
      <c r="D14" s="19">
        <v>13.67</v>
      </c>
      <c r="E14" s="19">
        <v>13.67</v>
      </c>
      <c r="F14" s="19">
        <f t="shared" si="0"/>
        <v>0</v>
      </c>
      <c r="G14" s="19">
        <f t="shared" si="1"/>
        <v>0</v>
      </c>
    </row>
    <row r="15" spans="1:7" ht="42" customHeight="1" x14ac:dyDescent="0.35">
      <c r="A15" s="21"/>
      <c r="B15" s="22" t="s">
        <v>12</v>
      </c>
      <c r="C15" s="18" t="s">
        <v>21</v>
      </c>
      <c r="D15" s="19">
        <v>11.62</v>
      </c>
      <c r="E15" s="19">
        <v>11.62</v>
      </c>
      <c r="F15" s="19">
        <f t="shared" si="0"/>
        <v>0</v>
      </c>
      <c r="G15" s="19">
        <f t="shared" si="1"/>
        <v>0</v>
      </c>
    </row>
    <row r="16" spans="1:7" ht="42" customHeight="1" x14ac:dyDescent="0.35">
      <c r="A16" s="21"/>
      <c r="B16" s="22" t="s">
        <v>23</v>
      </c>
      <c r="C16" s="18" t="s">
        <v>21</v>
      </c>
      <c r="D16" s="19">
        <v>11.62</v>
      </c>
      <c r="E16" s="19">
        <v>11.62</v>
      </c>
      <c r="F16" s="19">
        <f t="shared" si="0"/>
        <v>0</v>
      </c>
      <c r="G16" s="19">
        <f t="shared" si="1"/>
        <v>0</v>
      </c>
    </row>
    <row r="17" spans="1:7" ht="42" customHeight="1" x14ac:dyDescent="0.35">
      <c r="A17" s="21"/>
      <c r="B17" s="17" t="s">
        <v>24</v>
      </c>
      <c r="C17" s="18" t="s">
        <v>21</v>
      </c>
      <c r="D17" s="19">
        <v>18.100000000000001</v>
      </c>
      <c r="E17" s="19">
        <v>18.100000000000001</v>
      </c>
      <c r="F17" s="19">
        <f t="shared" si="0"/>
        <v>0</v>
      </c>
      <c r="G17" s="19">
        <f t="shared" si="1"/>
        <v>0</v>
      </c>
    </row>
    <row r="18" spans="1:7" ht="42" customHeight="1" x14ac:dyDescent="0.35">
      <c r="A18" s="21"/>
      <c r="B18" s="17" t="s">
        <v>25</v>
      </c>
      <c r="C18" s="18" t="s">
        <v>21</v>
      </c>
      <c r="D18" s="19">
        <v>18.100000000000001</v>
      </c>
      <c r="E18" s="19">
        <v>18.100000000000001</v>
      </c>
      <c r="F18" s="19">
        <f t="shared" si="0"/>
        <v>0</v>
      </c>
      <c r="G18" s="19">
        <f t="shared" si="1"/>
        <v>0</v>
      </c>
    </row>
    <row r="19" spans="1:7" ht="42" customHeight="1" x14ac:dyDescent="0.35">
      <c r="A19" s="21"/>
      <c r="B19" s="17" t="s">
        <v>26</v>
      </c>
      <c r="C19" s="18" t="s">
        <v>21</v>
      </c>
      <c r="D19" s="19">
        <v>2.39</v>
      </c>
      <c r="E19" s="19">
        <v>2.39</v>
      </c>
      <c r="F19" s="19">
        <f t="shared" si="0"/>
        <v>0</v>
      </c>
      <c r="G19" s="19">
        <f t="shared" si="1"/>
        <v>0</v>
      </c>
    </row>
    <row r="20" spans="1:7" ht="42" customHeight="1" x14ac:dyDescent="0.35">
      <c r="A20" s="21"/>
      <c r="B20" s="17" t="s">
        <v>15</v>
      </c>
      <c r="C20" s="18" t="s">
        <v>21</v>
      </c>
      <c r="D20" s="19">
        <v>18.45</v>
      </c>
      <c r="E20" s="19">
        <v>18.45</v>
      </c>
      <c r="F20" s="19">
        <f t="shared" si="0"/>
        <v>0</v>
      </c>
      <c r="G20" s="19">
        <f t="shared" si="1"/>
        <v>0</v>
      </c>
    </row>
    <row r="21" spans="1:7" ht="42" customHeight="1" x14ac:dyDescent="0.35">
      <c r="A21" s="21"/>
      <c r="B21" s="17" t="s">
        <v>16</v>
      </c>
      <c r="C21" s="18" t="s">
        <v>21</v>
      </c>
      <c r="D21" s="19">
        <v>2.0499999999999998</v>
      </c>
      <c r="E21" s="19">
        <v>2.0499999999999998</v>
      </c>
      <c r="F21" s="19">
        <f t="shared" si="0"/>
        <v>0</v>
      </c>
      <c r="G21" s="19">
        <f t="shared" si="1"/>
        <v>0</v>
      </c>
    </row>
    <row r="22" spans="1:7" ht="42" customHeight="1" x14ac:dyDescent="0.35">
      <c r="A22" s="21"/>
      <c r="B22" s="17" t="s">
        <v>18</v>
      </c>
      <c r="C22" s="18" t="s">
        <v>21</v>
      </c>
      <c r="D22" s="91">
        <v>49.54</v>
      </c>
      <c r="E22" s="91">
        <f>Разъяснения!Q18*Разъяснения!B9</f>
        <v>61.39563647375013</v>
      </c>
      <c r="F22" s="91">
        <f t="shared" si="0"/>
        <v>11.855636473750131</v>
      </c>
      <c r="G22" s="91">
        <f t="shared" si="1"/>
        <v>23.931442215886406</v>
      </c>
    </row>
    <row r="23" spans="1:7" ht="42" customHeight="1" x14ac:dyDescent="0.35">
      <c r="A23" s="21"/>
      <c r="B23" s="24" t="s">
        <v>27</v>
      </c>
      <c r="C23" s="18" t="s">
        <v>21</v>
      </c>
      <c r="D23" s="91">
        <v>192.66</v>
      </c>
      <c r="E23" s="91">
        <f>6.64*Разъяснения!B9</f>
        <v>226.84171636363635</v>
      </c>
      <c r="F23" s="91">
        <f t="shared" si="0"/>
        <v>34.181716363636355</v>
      </c>
      <c r="G23" s="91">
        <f t="shared" si="1"/>
        <v>17.741989184904156</v>
      </c>
    </row>
    <row r="24" spans="1:7" ht="42" customHeight="1" x14ac:dyDescent="0.35">
      <c r="A24" s="21"/>
      <c r="B24" s="25" t="s">
        <v>28</v>
      </c>
      <c r="C24" s="23" t="s">
        <v>21</v>
      </c>
      <c r="D24" s="91">
        <v>554.79999999999995</v>
      </c>
      <c r="E24" s="91">
        <f>Охрана!J20</f>
        <v>650.70776729559736</v>
      </c>
      <c r="F24" s="91">
        <f t="shared" si="0"/>
        <v>95.907767295597409</v>
      </c>
      <c r="G24" s="91">
        <f t="shared" si="1"/>
        <v>17.286908308507094</v>
      </c>
    </row>
  </sheetData>
  <mergeCells count="5">
    <mergeCell ref="B2:G2"/>
    <mergeCell ref="B3:G3"/>
    <mergeCell ref="B4:G4"/>
    <mergeCell ref="B5:G5"/>
    <mergeCell ref="B6:G6"/>
  </mergeCells>
  <pageMargins left="0.25" right="0.25" top="0.75" bottom="0.75" header="0.3" footer="0.3"/>
  <pageSetup paperSize="9" scale="74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57"/>
  <sheetViews>
    <sheetView workbookViewId="0">
      <selection activeCell="M21" sqref="M21"/>
    </sheetView>
  </sheetViews>
  <sheetFormatPr defaultColWidth="8.88671875" defaultRowHeight="14.4" x14ac:dyDescent="0.3"/>
  <cols>
    <col min="1" max="1" width="25.6640625" style="28" customWidth="1"/>
    <col min="2" max="2" width="28.21875" style="28" customWidth="1"/>
    <col min="3" max="3" width="12.6640625" style="28" customWidth="1"/>
    <col min="4" max="4" width="15.77734375" style="28" customWidth="1"/>
    <col min="5" max="5" width="15.44140625" style="28" customWidth="1"/>
    <col min="6" max="11" width="13.33203125" style="28" customWidth="1"/>
    <col min="12" max="14" width="12" style="28" customWidth="1"/>
    <col min="15" max="15" width="12.6640625" style="28" customWidth="1"/>
    <col min="16" max="16" width="12" style="28" customWidth="1"/>
    <col min="17" max="17" width="12.6640625" style="28" customWidth="1"/>
    <col min="18" max="18" width="12" style="28" customWidth="1"/>
    <col min="19" max="20" width="11.77734375" style="28" customWidth="1"/>
    <col min="21" max="27" width="8.88671875" style="28"/>
    <col min="28" max="16384" width="8.88671875" style="29"/>
  </cols>
  <sheetData>
    <row r="2" spans="1:27" x14ac:dyDescent="0.3">
      <c r="A2" s="26" t="s">
        <v>42</v>
      </c>
      <c r="B2" s="27"/>
      <c r="E2" s="30" t="s">
        <v>114</v>
      </c>
      <c r="F2" s="30"/>
    </row>
    <row r="3" spans="1:27" s="30" customFormat="1" ht="12" x14ac:dyDescent="0.25">
      <c r="A3" s="30" t="s">
        <v>43</v>
      </c>
      <c r="B3" s="31">
        <v>60368.2</v>
      </c>
      <c r="D3" s="27"/>
      <c r="E3" s="31">
        <f>60368.2+19244.8+10616.9</f>
        <v>90229.9</v>
      </c>
    </row>
    <row r="4" spans="1:27" s="30" customFormat="1" ht="12" x14ac:dyDescent="0.25">
      <c r="A4" s="30" t="s">
        <v>44</v>
      </c>
      <c r="B4" s="31">
        <v>2355.1</v>
      </c>
      <c r="D4" s="27"/>
      <c r="E4" s="31">
        <v>2355.1</v>
      </c>
    </row>
    <row r="5" spans="1:27" s="30" customFormat="1" ht="12" x14ac:dyDescent="0.25">
      <c r="A5" s="30" t="s">
        <v>45</v>
      </c>
      <c r="B5" s="31">
        <v>9394.7999999999993</v>
      </c>
      <c r="D5" s="32"/>
      <c r="E5" s="31">
        <v>9394.7999999999993</v>
      </c>
    </row>
    <row r="6" spans="1:27" s="30" customFormat="1" ht="12" x14ac:dyDescent="0.25">
      <c r="B6" s="33">
        <f>SUM(B3:B5)</f>
        <v>72118.099999999991</v>
      </c>
      <c r="D6" s="32"/>
      <c r="E6" s="33">
        <f>SUM(E3:E5)</f>
        <v>101979.8</v>
      </c>
    </row>
    <row r="7" spans="1:27" s="30" customFormat="1" ht="12" x14ac:dyDescent="0.25">
      <c r="D7" s="34"/>
      <c r="E7" s="35"/>
    </row>
    <row r="8" spans="1:27" s="37" customFormat="1" ht="13.2" x14ac:dyDescent="0.25">
      <c r="A8" s="30" t="s">
        <v>46</v>
      </c>
      <c r="B8" s="36">
        <v>275</v>
      </c>
    </row>
    <row r="9" spans="1:27" s="37" customFormat="1" ht="13.2" x14ac:dyDescent="0.25">
      <c r="A9" s="30" t="s">
        <v>47</v>
      </c>
      <c r="B9" s="31">
        <f>B5/B8</f>
        <v>34.162909090909089</v>
      </c>
    </row>
    <row r="10" spans="1:27" x14ac:dyDescent="0.3">
      <c r="A10" s="38"/>
    </row>
    <row r="11" spans="1:27" s="45" customFormat="1" ht="39" customHeight="1" x14ac:dyDescent="0.25">
      <c r="A11" s="39" t="s">
        <v>48</v>
      </c>
      <c r="B11" s="40" t="s">
        <v>49</v>
      </c>
      <c r="C11" s="40" t="s">
        <v>50</v>
      </c>
      <c r="D11" s="41" t="s">
        <v>51</v>
      </c>
      <c r="E11" s="41" t="s">
        <v>52</v>
      </c>
      <c r="F11" s="41" t="s">
        <v>53</v>
      </c>
      <c r="G11" s="41" t="s">
        <v>54</v>
      </c>
      <c r="H11" s="41" t="s">
        <v>55</v>
      </c>
      <c r="I11" s="41" t="s">
        <v>56</v>
      </c>
      <c r="J11" s="41" t="s">
        <v>57</v>
      </c>
      <c r="K11" s="41" t="s">
        <v>58</v>
      </c>
      <c r="L11" s="41" t="s">
        <v>59</v>
      </c>
      <c r="M11" s="41" t="s">
        <v>60</v>
      </c>
      <c r="N11" s="41" t="s">
        <v>61</v>
      </c>
      <c r="O11" s="41" t="s">
        <v>62</v>
      </c>
      <c r="P11" s="41" t="s">
        <v>63</v>
      </c>
      <c r="Q11" s="42" t="s">
        <v>64</v>
      </c>
      <c r="R11" s="42" t="s">
        <v>65</v>
      </c>
      <c r="S11" s="41" t="s">
        <v>31</v>
      </c>
      <c r="T11" s="43" t="s">
        <v>32</v>
      </c>
      <c r="U11" s="44"/>
      <c r="V11" s="44"/>
      <c r="W11" s="44"/>
      <c r="X11" s="44"/>
      <c r="Y11" s="44"/>
      <c r="Z11" s="44"/>
      <c r="AA11" s="44"/>
    </row>
    <row r="12" spans="1:27" s="45" customFormat="1" ht="12" x14ac:dyDescent="0.25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8"/>
      <c r="R12" s="48"/>
      <c r="S12" s="49"/>
      <c r="T12" s="50"/>
      <c r="U12" s="44"/>
      <c r="V12" s="44"/>
      <c r="W12" s="44"/>
      <c r="X12" s="44"/>
      <c r="Y12" s="44"/>
      <c r="Z12" s="44"/>
      <c r="AA12" s="44"/>
    </row>
    <row r="13" spans="1:27" s="53" customFormat="1" ht="12" customHeight="1" x14ac:dyDescent="0.3">
      <c r="A13" s="185" t="s">
        <v>66</v>
      </c>
      <c r="B13" s="51" t="s">
        <v>67</v>
      </c>
      <c r="C13" s="51">
        <v>1</v>
      </c>
      <c r="D13" s="51">
        <v>84500</v>
      </c>
      <c r="E13" s="51">
        <f>C13*D13</f>
        <v>84500</v>
      </c>
      <c r="F13" s="51"/>
      <c r="G13" s="51"/>
      <c r="H13" s="51">
        <f>E13+F13+G13</f>
        <v>84500</v>
      </c>
      <c r="I13" s="51">
        <f>13890*30.2%+(H13-13890)*15%</f>
        <v>14786.279999999999</v>
      </c>
      <c r="J13" s="186">
        <f>298813*1.1/12</f>
        <v>27391.191666666669</v>
      </c>
      <c r="K13" s="51">
        <f>3000/12+4500/24</f>
        <v>437.5</v>
      </c>
      <c r="L13" s="51">
        <f>(3300+5500+1540)/12</f>
        <v>861.66666666666663</v>
      </c>
      <c r="M13" s="186">
        <f>C38</f>
        <v>47310.768333333333</v>
      </c>
      <c r="N13" s="186">
        <f>H13+H14+H15+H16+I13+I14+I15+I16+J13+K13+K14+K15+K16+L13+L14+L15+L16+M13</f>
        <v>498349.1191666667</v>
      </c>
      <c r="O13" s="186">
        <f>N13*95%*1%</f>
        <v>4734.3166320833334</v>
      </c>
      <c r="P13" s="186">
        <f>(N13+O13)*10%</f>
        <v>50308.343579875007</v>
      </c>
      <c r="Q13" s="174">
        <f>(N13+O13+P13)/B6</f>
        <v>7.6734104112369161</v>
      </c>
      <c r="R13" s="174">
        <v>6.52</v>
      </c>
      <c r="S13" s="176">
        <f>Q13-R13</f>
        <v>1.1534104112369166</v>
      </c>
      <c r="T13" s="178">
        <f>Q13/R13*100-100</f>
        <v>17.690343730627561</v>
      </c>
      <c r="U13" s="52"/>
      <c r="V13" s="52"/>
      <c r="W13" s="52"/>
      <c r="X13" s="52"/>
      <c r="Y13" s="52"/>
      <c r="Z13" s="52"/>
      <c r="AA13" s="52"/>
    </row>
    <row r="14" spans="1:27" s="53" customFormat="1" ht="12" customHeight="1" x14ac:dyDescent="0.3">
      <c r="A14" s="185"/>
      <c r="B14" s="51" t="s">
        <v>68</v>
      </c>
      <c r="C14" s="51">
        <v>1</v>
      </c>
      <c r="D14" s="51">
        <v>58000</v>
      </c>
      <c r="E14" s="51">
        <f t="shared" ref="E14:E15" si="0">C14*D14</f>
        <v>58000</v>
      </c>
      <c r="F14" s="51"/>
      <c r="G14" s="51"/>
      <c r="H14" s="51">
        <f>E14+F14+G14</f>
        <v>58000</v>
      </c>
      <c r="I14" s="51">
        <f>13890*30.2%+(H14-13890)*15%</f>
        <v>10811.279999999999</v>
      </c>
      <c r="J14" s="187"/>
      <c r="K14" s="51">
        <f>3000/12+4500/24</f>
        <v>437.5</v>
      </c>
      <c r="L14" s="51"/>
      <c r="M14" s="187"/>
      <c r="N14" s="187"/>
      <c r="O14" s="187"/>
      <c r="P14" s="187"/>
      <c r="Q14" s="175"/>
      <c r="R14" s="175"/>
      <c r="S14" s="177"/>
      <c r="T14" s="179"/>
      <c r="U14" s="52"/>
      <c r="V14" s="52"/>
      <c r="W14" s="52"/>
      <c r="X14" s="52"/>
      <c r="Y14" s="52"/>
      <c r="Z14" s="52"/>
      <c r="AA14" s="52"/>
    </row>
    <row r="15" spans="1:27" s="53" customFormat="1" ht="14.4" customHeight="1" x14ac:dyDescent="0.3">
      <c r="A15" s="185"/>
      <c r="B15" s="51" t="s">
        <v>69</v>
      </c>
      <c r="C15" s="51">
        <v>1</v>
      </c>
      <c r="D15" s="51">
        <v>37025</v>
      </c>
      <c r="E15" s="51">
        <f t="shared" si="0"/>
        <v>37025</v>
      </c>
      <c r="F15" s="51"/>
      <c r="G15" s="51">
        <f>E15/12</f>
        <v>3085.4166666666665</v>
      </c>
      <c r="H15" s="51">
        <f t="shared" ref="H15" si="1">E15+F15+G15</f>
        <v>40110.416666666664</v>
      </c>
      <c r="I15" s="51">
        <f>13890*30.2%+(H15-13890)*15%</f>
        <v>8127.8424999999988</v>
      </c>
      <c r="J15" s="187"/>
      <c r="K15" s="51">
        <f>6360/12+8060/24</f>
        <v>865.83333333333326</v>
      </c>
      <c r="L15" s="51">
        <f>C15*(3300+5700)/12</f>
        <v>750</v>
      </c>
      <c r="M15" s="187"/>
      <c r="N15" s="187"/>
      <c r="O15" s="187"/>
      <c r="P15" s="187"/>
      <c r="Q15" s="175"/>
      <c r="R15" s="175"/>
      <c r="S15" s="177"/>
      <c r="T15" s="179"/>
      <c r="U15" s="52"/>
      <c r="V15" s="52"/>
      <c r="W15" s="52"/>
      <c r="X15" s="52"/>
      <c r="Y15" s="52"/>
      <c r="Z15" s="52"/>
      <c r="AA15" s="52"/>
    </row>
    <row r="16" spans="1:27" s="53" customFormat="1" ht="14.4" customHeight="1" x14ac:dyDescent="0.3">
      <c r="A16" s="185"/>
      <c r="B16" s="51" t="s">
        <v>70</v>
      </c>
      <c r="C16" s="51">
        <v>3</v>
      </c>
      <c r="D16" s="51">
        <v>51800</v>
      </c>
      <c r="E16" s="51">
        <f>C16*D16</f>
        <v>155400</v>
      </c>
      <c r="F16" s="51"/>
      <c r="G16" s="51">
        <f>E16/12</f>
        <v>12950</v>
      </c>
      <c r="H16" s="51">
        <f>E16+F16+G16</f>
        <v>168350</v>
      </c>
      <c r="I16" s="51">
        <f>C16*13890*30.2%+(H16-13890*C16)*15%</f>
        <v>31586.34</v>
      </c>
      <c r="J16" s="187"/>
      <c r="K16" s="51">
        <f>C16*(6360/12+8060/24)</f>
        <v>2597.5</v>
      </c>
      <c r="L16" s="51">
        <f>C16*5700/12</f>
        <v>1425</v>
      </c>
      <c r="M16" s="187"/>
      <c r="N16" s="187"/>
      <c r="O16" s="187"/>
      <c r="P16" s="187"/>
      <c r="Q16" s="175"/>
      <c r="R16" s="175"/>
      <c r="S16" s="177"/>
      <c r="T16" s="179"/>
      <c r="U16" s="52"/>
      <c r="V16" s="52"/>
      <c r="W16" s="52"/>
      <c r="X16" s="52"/>
      <c r="Y16" s="52"/>
      <c r="Z16" s="52"/>
      <c r="AA16" s="52"/>
    </row>
    <row r="17" spans="1:27" s="45" customFormat="1" ht="14.4" customHeight="1" x14ac:dyDescent="0.25">
      <c r="A17" s="54"/>
      <c r="B17" s="55"/>
      <c r="C17" s="55"/>
      <c r="D17" s="55"/>
      <c r="E17" s="55"/>
      <c r="F17" s="55"/>
      <c r="G17" s="55"/>
      <c r="H17" s="55"/>
      <c r="I17" s="55"/>
      <c r="J17" s="56"/>
      <c r="K17" s="55"/>
      <c r="L17" s="55"/>
      <c r="M17" s="56"/>
      <c r="N17" s="56"/>
      <c r="O17" s="56"/>
      <c r="P17" s="56"/>
      <c r="Q17" s="57"/>
      <c r="R17" s="57"/>
      <c r="S17" s="58"/>
      <c r="T17" s="59"/>
      <c r="U17" s="44"/>
      <c r="V17" s="44"/>
      <c r="W17" s="44"/>
      <c r="X17" s="44"/>
      <c r="Y17" s="44"/>
      <c r="Z17" s="44"/>
      <c r="AA17" s="44"/>
    </row>
    <row r="18" spans="1:27" s="53" customFormat="1" ht="14.4" customHeight="1" x14ac:dyDescent="0.3">
      <c r="A18" s="54" t="s">
        <v>71</v>
      </c>
      <c r="B18" s="56" t="s">
        <v>72</v>
      </c>
      <c r="C18" s="56">
        <v>2</v>
      </c>
      <c r="D18" s="56">
        <v>34500</v>
      </c>
      <c r="E18" s="56">
        <f>C18*D18</f>
        <v>69000</v>
      </c>
      <c r="F18" s="56">
        <f>30187.5/12</f>
        <v>2515.625</v>
      </c>
      <c r="G18" s="56">
        <f>E18/12</f>
        <v>5750</v>
      </c>
      <c r="H18" s="56">
        <f>E18+F18+G18</f>
        <v>77265.625</v>
      </c>
      <c r="I18" s="51">
        <f>13890*C18*30.2%+(H18-(13890*C18))*15%</f>
        <v>15812.403749999999</v>
      </c>
      <c r="J18" s="56">
        <f>206407*1.1/12</f>
        <v>18920.641666666666</v>
      </c>
      <c r="K18" s="56">
        <f>C18*(2500/12+3700/24)</f>
        <v>725</v>
      </c>
      <c r="L18" s="56">
        <f>C18*2950/12</f>
        <v>491.66666666666669</v>
      </c>
      <c r="M18" s="56">
        <f>C42</f>
        <v>3500</v>
      </c>
      <c r="N18" s="56">
        <f>H18+I18+J18+K18+L18+M18</f>
        <v>116715.33708333333</v>
      </c>
      <c r="O18" s="56">
        <f>N18*95%*1%</f>
        <v>1108.7957022916667</v>
      </c>
      <c r="P18" s="56">
        <f>(N18+O18)*10%</f>
        <v>11782.413278562501</v>
      </c>
      <c r="Q18" s="57">
        <f>(N18+O18+P18)/B6</f>
        <v>1.7971431036617369</v>
      </c>
      <c r="R18" s="57">
        <v>1.45</v>
      </c>
      <c r="S18" s="58">
        <f>Q18-R18</f>
        <v>0.34714310366173695</v>
      </c>
      <c r="T18" s="59">
        <f>Q18/R18*100-100</f>
        <v>23.940903700809429</v>
      </c>
      <c r="U18" s="52"/>
      <c r="V18" s="52"/>
      <c r="W18" s="52"/>
      <c r="X18" s="52"/>
      <c r="Y18" s="52"/>
      <c r="Z18" s="52"/>
      <c r="AA18" s="52"/>
    </row>
    <row r="19" spans="1:27" s="66" customFormat="1" ht="12" x14ac:dyDescent="0.25">
      <c r="A19" s="60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  <c r="R19" s="62"/>
      <c r="S19" s="63"/>
      <c r="T19" s="64"/>
      <c r="U19" s="65"/>
      <c r="V19" s="65"/>
      <c r="W19" s="65"/>
      <c r="X19" s="65"/>
      <c r="Y19" s="65"/>
      <c r="Z19" s="65"/>
      <c r="AA19" s="65"/>
    </row>
    <row r="20" spans="1:27" s="68" customFormat="1" x14ac:dyDescent="0.3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</row>
    <row r="21" spans="1:27" s="45" customFormat="1" ht="81.599999999999994" customHeight="1" x14ac:dyDescent="0.25">
      <c r="A21" s="39" t="s">
        <v>48</v>
      </c>
      <c r="B21" s="69" t="s">
        <v>73</v>
      </c>
      <c r="C21" s="41" t="s">
        <v>74</v>
      </c>
      <c r="D21" s="41" t="s">
        <v>75</v>
      </c>
      <c r="E21" s="41" t="s">
        <v>61</v>
      </c>
      <c r="F21" s="41" t="s">
        <v>62</v>
      </c>
      <c r="G21" s="43" t="s">
        <v>63</v>
      </c>
      <c r="H21" s="42" t="s">
        <v>64</v>
      </c>
      <c r="I21" s="42" t="s">
        <v>65</v>
      </c>
      <c r="J21" s="41" t="s">
        <v>31</v>
      </c>
      <c r="K21" s="43" t="s">
        <v>32</v>
      </c>
    </row>
    <row r="22" spans="1:27" s="45" customFormat="1" ht="12" x14ac:dyDescent="0.25">
      <c r="A22" s="46"/>
      <c r="B22" s="47"/>
      <c r="C22" s="47"/>
      <c r="D22" s="47"/>
      <c r="E22" s="47"/>
      <c r="F22" s="47"/>
      <c r="G22" s="70"/>
      <c r="H22" s="48"/>
      <c r="I22" s="48"/>
      <c r="J22" s="49"/>
      <c r="K22" s="50"/>
    </row>
    <row r="23" spans="1:27" s="53" customFormat="1" ht="24" x14ac:dyDescent="0.3">
      <c r="A23" s="71" t="s">
        <v>77</v>
      </c>
      <c r="B23" s="51">
        <v>324500</v>
      </c>
      <c r="C23" s="51"/>
      <c r="D23" s="51"/>
      <c r="E23" s="51">
        <f>B23+C23+D23</f>
        <v>324500</v>
      </c>
      <c r="F23" s="51">
        <f>E23*95%*1%</f>
        <v>3082.75</v>
      </c>
      <c r="G23" s="72">
        <f>(E23+F23)*10%</f>
        <v>32758.275000000001</v>
      </c>
      <c r="H23" s="138">
        <f>(E23+F23+G23)/(B3+B5)</f>
        <v>5.1652168771411784</v>
      </c>
      <c r="I23" s="139">
        <v>4.03</v>
      </c>
      <c r="J23" s="140">
        <f>H23-I23</f>
        <v>1.1352168771411781</v>
      </c>
      <c r="K23" s="141">
        <f>H23/I23*100-100</f>
        <v>28.169153278937443</v>
      </c>
    </row>
    <row r="24" spans="1:27" s="45" customFormat="1" ht="12" customHeight="1" x14ac:dyDescent="0.25">
      <c r="A24" s="71"/>
      <c r="B24" s="73"/>
      <c r="C24" s="73"/>
      <c r="D24" s="73"/>
      <c r="E24" s="51"/>
      <c r="F24" s="51"/>
      <c r="G24" s="72"/>
      <c r="H24" s="138"/>
      <c r="I24" s="139"/>
      <c r="J24" s="140"/>
      <c r="K24" s="141"/>
    </row>
    <row r="25" spans="1:27" s="53" customFormat="1" ht="21.6" customHeight="1" x14ac:dyDescent="0.3">
      <c r="A25" s="71" t="s">
        <v>78</v>
      </c>
      <c r="B25" s="51">
        <v>222150</v>
      </c>
      <c r="C25" s="51">
        <f>80000/12</f>
        <v>6666.666666666667</v>
      </c>
      <c r="D25" s="51">
        <f>380000/12</f>
        <v>31666.666666666668</v>
      </c>
      <c r="E25" s="51">
        <f>B25+C25+D25</f>
        <v>260483.33333333331</v>
      </c>
      <c r="F25" s="51">
        <f>E25*95%*1%</f>
        <v>2474.5916666666662</v>
      </c>
      <c r="G25" s="72">
        <f t="shared" ref="G25" si="2">(E25+F25)*10%</f>
        <v>26295.7925</v>
      </c>
      <c r="H25" s="138">
        <f>(E25+F25+G25)/B6</f>
        <v>4.0108338614023387</v>
      </c>
      <c r="I25" s="139">
        <v>3.14</v>
      </c>
      <c r="J25" s="140">
        <f t="shared" ref="J25" si="3">H25-I25</f>
        <v>0.87083386140233854</v>
      </c>
      <c r="K25" s="141">
        <f t="shared" ref="K25" si="4">H25/I25*100-100</f>
        <v>27.733562465042638</v>
      </c>
    </row>
    <row r="26" spans="1:27" s="66" customFormat="1" ht="12" x14ac:dyDescent="0.25">
      <c r="A26" s="60"/>
      <c r="B26" s="61"/>
      <c r="C26" s="61"/>
      <c r="D26" s="61"/>
      <c r="E26" s="61"/>
      <c r="F26" s="61"/>
      <c r="G26" s="74"/>
      <c r="H26" s="134"/>
      <c r="I26" s="135"/>
      <c r="J26" s="136"/>
      <c r="K26" s="137"/>
      <c r="M26" s="65"/>
      <c r="N26" s="65"/>
      <c r="O26" s="65"/>
    </row>
    <row r="27" spans="1:27" s="68" customFormat="1" ht="13.8" customHeight="1" x14ac:dyDescent="0.3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1:27" s="68" customFormat="1" x14ac:dyDescent="0.3">
      <c r="A28" s="28"/>
      <c r="B28" s="28"/>
      <c r="C28" s="28"/>
      <c r="D28" s="28"/>
      <c r="E28" s="28"/>
      <c r="F28" s="28"/>
      <c r="G28" s="28"/>
      <c r="H28" s="28"/>
      <c r="I28" s="67"/>
      <c r="J28" s="67"/>
      <c r="K28" s="67"/>
      <c r="L28" s="67"/>
      <c r="M28" s="67"/>
      <c r="N28" s="67"/>
      <c r="O28" s="67"/>
    </row>
    <row r="29" spans="1:27" s="68" customFormat="1" ht="37.950000000000003" customHeight="1" x14ac:dyDescent="0.3">
      <c r="A29" s="180" t="s">
        <v>79</v>
      </c>
      <c r="B29" s="75" t="s">
        <v>48</v>
      </c>
      <c r="C29" s="76" t="s">
        <v>80</v>
      </c>
      <c r="D29" s="28"/>
      <c r="E29" s="28"/>
      <c r="F29" s="28"/>
      <c r="G29" s="28"/>
      <c r="H29" s="28"/>
    </row>
    <row r="30" spans="1:27" s="68" customFormat="1" ht="31.2" customHeight="1" x14ac:dyDescent="0.3">
      <c r="A30" s="181"/>
      <c r="B30" s="183" t="s">
        <v>66</v>
      </c>
      <c r="C30" s="184"/>
      <c r="D30" s="28"/>
      <c r="E30" s="28"/>
      <c r="F30" s="28"/>
      <c r="G30" s="28"/>
      <c r="H30" s="28"/>
      <c r="I30" s="28"/>
      <c r="K30" s="67"/>
      <c r="L30" s="67"/>
    </row>
    <row r="31" spans="1:27" s="80" customFormat="1" ht="25.2" customHeight="1" x14ac:dyDescent="0.25">
      <c r="A31" s="181"/>
      <c r="B31" s="77" t="s">
        <v>81</v>
      </c>
      <c r="C31" s="78">
        <f>20894*1.03/12</f>
        <v>1793.4016666666666</v>
      </c>
      <c r="D31" s="28"/>
      <c r="E31" s="28"/>
      <c r="F31" s="28"/>
      <c r="G31" s="28"/>
      <c r="H31" s="28"/>
      <c r="I31" s="28"/>
      <c r="J31" s="79"/>
      <c r="K31" s="79"/>
      <c r="L31" s="79"/>
    </row>
    <row r="32" spans="1:27" s="80" customFormat="1" ht="13.8" x14ac:dyDescent="0.25">
      <c r="A32" s="181"/>
      <c r="B32" s="81" t="s">
        <v>82</v>
      </c>
      <c r="C32" s="82">
        <f>224280*1.03/12</f>
        <v>19250.7</v>
      </c>
      <c r="D32" s="28"/>
      <c r="E32" s="28"/>
      <c r="F32" s="28"/>
      <c r="G32" s="28"/>
      <c r="H32" s="28"/>
      <c r="I32" s="28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</row>
    <row r="33" spans="1:29" s="84" customFormat="1" ht="24" x14ac:dyDescent="0.25">
      <c r="A33" s="181"/>
      <c r="B33" s="81" t="s">
        <v>83</v>
      </c>
      <c r="C33" s="82">
        <v>4000</v>
      </c>
      <c r="D33" s="28"/>
      <c r="E33" s="28"/>
      <c r="F33" s="28"/>
      <c r="G33" s="28"/>
      <c r="H33" s="28"/>
      <c r="I33" s="28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</row>
    <row r="34" spans="1:29" s="84" customFormat="1" ht="48" x14ac:dyDescent="0.25">
      <c r="A34" s="181"/>
      <c r="B34" s="81" t="s">
        <v>84</v>
      </c>
      <c r="C34" s="82">
        <f>50000/12</f>
        <v>4166.666666666667</v>
      </c>
      <c r="D34" s="28"/>
      <c r="E34" s="28"/>
      <c r="F34" s="28"/>
      <c r="G34" s="28"/>
      <c r="H34" s="28"/>
      <c r="I34" s="28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</row>
    <row r="35" spans="1:29" s="84" customFormat="1" ht="24" x14ac:dyDescent="0.25">
      <c r="A35" s="181"/>
      <c r="B35" s="85" t="s">
        <v>85</v>
      </c>
      <c r="C35" s="86">
        <f>300000/36</f>
        <v>8333.3333333333339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</row>
    <row r="36" spans="1:29" s="84" customFormat="1" ht="26.4" customHeight="1" x14ac:dyDescent="0.25">
      <c r="A36" s="181"/>
      <c r="B36" s="85" t="s">
        <v>86</v>
      </c>
      <c r="C36" s="86">
        <f>63000/12</f>
        <v>5250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</row>
    <row r="37" spans="1:29" s="84" customFormat="1" ht="26.4" customHeight="1" x14ac:dyDescent="0.25">
      <c r="A37" s="181"/>
      <c r="B37" s="85" t="s">
        <v>87</v>
      </c>
      <c r="C37" s="86">
        <f>54200/12</f>
        <v>4516.666666666667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28"/>
      <c r="O37" s="28"/>
      <c r="P37" s="28"/>
      <c r="Q37" s="28"/>
      <c r="R37" s="28"/>
      <c r="S37" s="28"/>
      <c r="T37" s="28"/>
      <c r="U37" s="83"/>
      <c r="V37" s="83"/>
      <c r="W37" s="83"/>
      <c r="X37" s="83"/>
      <c r="Y37" s="83"/>
      <c r="Z37" s="83"/>
      <c r="AA37" s="83"/>
    </row>
    <row r="38" spans="1:29" s="28" customFormat="1" ht="26.4" customHeight="1" x14ac:dyDescent="0.3">
      <c r="A38" s="181"/>
      <c r="B38" s="87" t="s">
        <v>88</v>
      </c>
      <c r="C38" s="88">
        <f>SUM(C31:C37)</f>
        <v>47310.768333333333</v>
      </c>
      <c r="AB38" s="29"/>
      <c r="AC38" s="29"/>
    </row>
    <row r="39" spans="1:29" ht="12.6" customHeight="1" x14ac:dyDescent="0.3">
      <c r="A39" s="181"/>
      <c r="B39" s="89"/>
      <c r="C39" s="90"/>
    </row>
    <row r="40" spans="1:29" ht="26.4" customHeight="1" x14ac:dyDescent="0.3">
      <c r="A40" s="181"/>
      <c r="B40" s="183" t="s">
        <v>71</v>
      </c>
      <c r="C40" s="184"/>
    </row>
    <row r="41" spans="1:29" ht="26.4" customHeight="1" x14ac:dyDescent="0.3">
      <c r="A41" s="181"/>
      <c r="B41" s="81" t="s">
        <v>89</v>
      </c>
      <c r="C41" s="82">
        <f>42000/12</f>
        <v>3500</v>
      </c>
    </row>
    <row r="42" spans="1:29" ht="26.4" customHeight="1" x14ac:dyDescent="0.3">
      <c r="A42" s="182"/>
      <c r="B42" s="87" t="s">
        <v>88</v>
      </c>
      <c r="C42" s="88">
        <f>SUM(C41:C41)</f>
        <v>3500</v>
      </c>
    </row>
    <row r="43" spans="1:29" x14ac:dyDescent="0.3">
      <c r="A43" s="29"/>
      <c r="B43" s="29"/>
      <c r="C43" s="29"/>
    </row>
    <row r="44" spans="1:29" x14ac:dyDescent="0.3">
      <c r="A44" s="29"/>
      <c r="B44" s="29"/>
      <c r="C44" s="29"/>
    </row>
    <row r="45" spans="1:29" x14ac:dyDescent="0.3">
      <c r="A45" s="29"/>
      <c r="B45" s="29"/>
      <c r="C45" s="29"/>
    </row>
    <row r="46" spans="1:29" x14ac:dyDescent="0.3">
      <c r="A46" s="29"/>
      <c r="B46" s="29"/>
      <c r="C46" s="29"/>
    </row>
    <row r="47" spans="1:29" s="28" customFormat="1" x14ac:dyDescent="0.3">
      <c r="A47" s="29"/>
      <c r="B47" s="29"/>
      <c r="C47" s="29"/>
      <c r="AB47" s="29"/>
      <c r="AC47" s="29"/>
    </row>
    <row r="48" spans="1:29" s="28" customFormat="1" x14ac:dyDescent="0.3">
      <c r="A48" s="29"/>
      <c r="B48" s="29"/>
      <c r="C48" s="29"/>
      <c r="AB48" s="29"/>
      <c r="AC48" s="29"/>
    </row>
    <row r="49" spans="1:29" s="28" customFormat="1" x14ac:dyDescent="0.3">
      <c r="A49" s="29"/>
      <c r="B49" s="29"/>
      <c r="C49" s="29"/>
      <c r="AB49" s="29"/>
      <c r="AC49" s="29"/>
    </row>
    <row r="50" spans="1:29" s="28" customFormat="1" x14ac:dyDescent="0.3">
      <c r="A50" s="29"/>
      <c r="B50" s="29"/>
      <c r="C50" s="29"/>
      <c r="AB50" s="29"/>
      <c r="AC50" s="29"/>
    </row>
    <row r="51" spans="1:29" s="28" customFormat="1" x14ac:dyDescent="0.3">
      <c r="A51" s="29"/>
      <c r="B51" s="29"/>
      <c r="C51" s="29"/>
      <c r="AB51" s="29"/>
      <c r="AC51" s="29"/>
    </row>
    <row r="52" spans="1:29" s="28" customFormat="1" x14ac:dyDescent="0.3">
      <c r="A52" s="29"/>
      <c r="B52" s="29"/>
      <c r="C52" s="29"/>
      <c r="AB52" s="29"/>
      <c r="AC52" s="29"/>
    </row>
    <row r="53" spans="1:29" s="28" customFormat="1" x14ac:dyDescent="0.3">
      <c r="A53" s="29"/>
      <c r="B53" s="29"/>
      <c r="C53" s="29"/>
      <c r="AB53" s="29"/>
      <c r="AC53" s="29"/>
    </row>
    <row r="54" spans="1:29" s="28" customFormat="1" x14ac:dyDescent="0.3">
      <c r="A54" s="29"/>
      <c r="B54" s="29"/>
      <c r="C54" s="29"/>
      <c r="AB54" s="29"/>
      <c r="AC54" s="29"/>
    </row>
    <row r="55" spans="1:29" s="28" customFormat="1" x14ac:dyDescent="0.3">
      <c r="A55" s="29"/>
      <c r="B55" s="29"/>
      <c r="C55" s="29"/>
      <c r="AB55" s="29"/>
      <c r="AC55" s="29"/>
    </row>
    <row r="56" spans="1:29" s="28" customFormat="1" x14ac:dyDescent="0.3">
      <c r="A56" s="29"/>
      <c r="B56" s="29"/>
      <c r="C56" s="29"/>
      <c r="AB56" s="29"/>
      <c r="AC56" s="29"/>
    </row>
    <row r="57" spans="1:29" s="28" customFormat="1" x14ac:dyDescent="0.3">
      <c r="A57" s="29"/>
      <c r="B57" s="29"/>
      <c r="C57" s="29"/>
      <c r="AB57" s="29"/>
      <c r="AC57" s="29"/>
    </row>
  </sheetData>
  <mergeCells count="13">
    <mergeCell ref="Q13:Q16"/>
    <mergeCell ref="R13:R16"/>
    <mergeCell ref="S13:S16"/>
    <mergeCell ref="T13:T16"/>
    <mergeCell ref="A29:A42"/>
    <mergeCell ref="B30:C30"/>
    <mergeCell ref="B40:C40"/>
    <mergeCell ref="A13:A16"/>
    <mergeCell ref="J13:J16"/>
    <mergeCell ref="M13:M16"/>
    <mergeCell ref="N13:N16"/>
    <mergeCell ref="O13:O16"/>
    <mergeCell ref="P13:P16"/>
  </mergeCells>
  <pageMargins left="0.7" right="0.7" top="0.75" bottom="0.75" header="0.3" footer="0.3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opLeftCell="A5" workbookViewId="0">
      <selection activeCell="I21" sqref="I21"/>
    </sheetView>
  </sheetViews>
  <sheetFormatPr defaultColWidth="8.88671875" defaultRowHeight="13.8" x14ac:dyDescent="0.25"/>
  <cols>
    <col min="1" max="1" width="23.44140625" style="95" customWidth="1"/>
    <col min="2" max="2" width="26.44140625" style="95" customWidth="1"/>
    <col min="3" max="4" width="9" style="95" customWidth="1"/>
    <col min="5" max="5" width="10.5546875" style="95" customWidth="1"/>
    <col min="6" max="6" width="22.77734375" style="95" customWidth="1"/>
    <col min="7" max="10" width="14.44140625" style="95" customWidth="1"/>
    <col min="11" max="11" width="14.6640625" style="95" customWidth="1"/>
    <col min="12" max="12" width="11.44140625" style="95" customWidth="1"/>
    <col min="13" max="13" width="13.88671875" style="95" customWidth="1"/>
    <col min="14" max="14" width="13" style="95" bestFit="1" customWidth="1"/>
    <col min="15" max="16384" width="8.88671875" style="95"/>
  </cols>
  <sheetData>
    <row r="1" spans="1:14" x14ac:dyDescent="0.25">
      <c r="A1" s="94" t="s">
        <v>92</v>
      </c>
    </row>
    <row r="3" spans="1:14" s="97" customFormat="1" ht="13.2" x14ac:dyDescent="0.25">
      <c r="A3" s="96" t="s">
        <v>93</v>
      </c>
    </row>
    <row r="4" spans="1:14" s="97" customFormat="1" ht="26.4" x14ac:dyDescent="0.25">
      <c r="A4" s="97" t="s">
        <v>43</v>
      </c>
      <c r="B4" s="98">
        <v>60368.2</v>
      </c>
      <c r="C4" s="99"/>
      <c r="F4" s="100"/>
      <c r="G4" s="101" t="s">
        <v>94</v>
      </c>
      <c r="H4" s="102" t="s">
        <v>95</v>
      </c>
      <c r="I4" s="103" t="s">
        <v>96</v>
      </c>
      <c r="J4" s="104" t="s">
        <v>97</v>
      </c>
    </row>
    <row r="5" spans="1:14" s="97" customFormat="1" ht="13.2" x14ac:dyDescent="0.25">
      <c r="A5" s="97" t="s">
        <v>44</v>
      </c>
      <c r="B5" s="98">
        <v>2355.1</v>
      </c>
      <c r="C5" s="99"/>
      <c r="F5" s="105" t="s">
        <v>98</v>
      </c>
      <c r="G5" s="106">
        <v>14</v>
      </c>
      <c r="H5" s="107">
        <v>12</v>
      </c>
      <c r="I5" s="107">
        <v>1000</v>
      </c>
      <c r="J5" s="108">
        <v>1</v>
      </c>
    </row>
    <row r="6" spans="1:14" s="97" customFormat="1" ht="13.2" x14ac:dyDescent="0.25">
      <c r="A6" s="97" t="s">
        <v>99</v>
      </c>
      <c r="B6" s="98">
        <v>9394.7999999999993</v>
      </c>
      <c r="C6" s="99"/>
      <c r="F6" s="109" t="s">
        <v>100</v>
      </c>
      <c r="G6" s="110">
        <v>14</v>
      </c>
      <c r="H6" s="111">
        <v>12</v>
      </c>
      <c r="I6" s="111">
        <v>450</v>
      </c>
      <c r="J6" s="112">
        <v>1</v>
      </c>
    </row>
    <row r="7" spans="1:14" s="97" customFormat="1" ht="13.2" x14ac:dyDescent="0.25">
      <c r="B7" s="113">
        <f>SUM(B4:B6)</f>
        <v>72118.099999999991</v>
      </c>
    </row>
    <row r="8" spans="1:14" s="97" customFormat="1" ht="13.2" x14ac:dyDescent="0.25"/>
    <row r="9" spans="1:14" s="97" customFormat="1" x14ac:dyDescent="0.25">
      <c r="B9" s="113"/>
      <c r="F9" s="95"/>
      <c r="G9" s="95"/>
      <c r="H9" s="95"/>
      <c r="I9" s="95"/>
      <c r="J9" s="95"/>
    </row>
    <row r="10" spans="1:14" s="97" customFormat="1" x14ac:dyDescent="0.25">
      <c r="A10" s="97" t="s">
        <v>101</v>
      </c>
      <c r="B10" s="98">
        <f>3018.6+2355.1</f>
        <v>5373.7</v>
      </c>
      <c r="G10" s="95"/>
      <c r="H10" s="95"/>
      <c r="I10" s="114"/>
      <c r="J10" s="114"/>
    </row>
    <row r="11" spans="1:14" x14ac:dyDescent="0.25">
      <c r="F11" s="114"/>
      <c r="G11" s="114"/>
      <c r="H11" s="114"/>
      <c r="I11" s="115"/>
      <c r="J11" s="116"/>
    </row>
    <row r="12" spans="1:14" x14ac:dyDescent="0.25">
      <c r="A12" s="94" t="s">
        <v>102</v>
      </c>
      <c r="F12" s="114"/>
      <c r="G12" s="114"/>
      <c r="H12" s="114"/>
      <c r="I12" s="114"/>
      <c r="J12" s="114"/>
      <c r="K12" s="114"/>
      <c r="L12" s="114"/>
      <c r="M12" s="114"/>
      <c r="N12" s="114"/>
    </row>
    <row r="13" spans="1:14" s="114" customFormat="1" ht="13.2" x14ac:dyDescent="0.25">
      <c r="A13" s="192" t="s">
        <v>103</v>
      </c>
      <c r="B13" s="193"/>
      <c r="C13" s="193"/>
      <c r="D13" s="193"/>
      <c r="E13" s="117">
        <v>6489.43</v>
      </c>
      <c r="F13" s="116"/>
    </row>
    <row r="14" spans="1:14" s="114" customFormat="1" ht="13.2" x14ac:dyDescent="0.25">
      <c r="A14" s="188" t="s">
        <v>104</v>
      </c>
      <c r="B14" s="189"/>
      <c r="C14" s="189"/>
      <c r="D14" s="189"/>
      <c r="E14" s="118">
        <v>4.5999999999999999E-2</v>
      </c>
      <c r="F14" s="115"/>
    </row>
    <row r="15" spans="1:14" s="114" customFormat="1" ht="13.2" x14ac:dyDescent="0.25">
      <c r="A15" s="188" t="s">
        <v>105</v>
      </c>
      <c r="B15" s="189"/>
      <c r="C15" s="189"/>
      <c r="D15" s="189"/>
      <c r="E15" s="118">
        <f>G5</f>
        <v>14</v>
      </c>
      <c r="G15" s="119"/>
      <c r="H15" s="116"/>
      <c r="I15" s="120"/>
      <c r="J15" s="119"/>
    </row>
    <row r="16" spans="1:14" s="114" customFormat="1" ht="13.2" x14ac:dyDescent="0.25">
      <c r="A16" s="190" t="s">
        <v>106</v>
      </c>
      <c r="B16" s="191"/>
      <c r="C16" s="191"/>
      <c r="D16" s="191"/>
      <c r="E16" s="121">
        <f>H5</f>
        <v>12</v>
      </c>
      <c r="G16" s="119"/>
      <c r="H16" s="116"/>
      <c r="I16" s="120"/>
      <c r="J16" s="119"/>
    </row>
    <row r="17" spans="1:11" s="114" customFormat="1" ht="22.2" customHeight="1" x14ac:dyDescent="0.25">
      <c r="A17" s="122" t="s">
        <v>107</v>
      </c>
      <c r="B17" s="123"/>
      <c r="C17" s="123"/>
      <c r="D17" s="123"/>
      <c r="E17" s="124">
        <f>E13*(1+E14*(E16-2))*E15</f>
        <v>132643.9492</v>
      </c>
      <c r="F17" s="125"/>
      <c r="G17" s="119"/>
      <c r="H17" s="116"/>
      <c r="I17" s="120"/>
      <c r="J17" s="119"/>
      <c r="K17" s="119"/>
    </row>
    <row r="18" spans="1:11" s="114" customFormat="1" ht="13.2" x14ac:dyDescent="0.25">
      <c r="B18" s="116"/>
      <c r="F18" s="120"/>
      <c r="G18" s="119"/>
      <c r="H18" s="116"/>
      <c r="I18" s="120"/>
      <c r="J18" s="119"/>
      <c r="K18" s="119"/>
    </row>
    <row r="19" spans="1:11" s="114" customFormat="1" ht="13.2" x14ac:dyDescent="0.25">
      <c r="I19" s="115"/>
    </row>
    <row r="20" spans="1:11" s="114" customFormat="1" x14ac:dyDescent="0.25">
      <c r="A20" s="94" t="s">
        <v>108</v>
      </c>
    </row>
    <row r="21" spans="1:11" s="114" customFormat="1" ht="13.2" x14ac:dyDescent="0.25">
      <c r="A21" s="192" t="s">
        <v>103</v>
      </c>
      <c r="B21" s="193"/>
      <c r="C21" s="193"/>
      <c r="D21" s="193"/>
      <c r="E21" s="117">
        <v>6424.12</v>
      </c>
      <c r="F21" s="116"/>
    </row>
    <row r="22" spans="1:11" s="114" customFormat="1" ht="13.2" x14ac:dyDescent="0.25">
      <c r="A22" s="188" t="s">
        <v>104</v>
      </c>
      <c r="B22" s="189"/>
      <c r="C22" s="189"/>
      <c r="D22" s="189"/>
      <c r="E22" s="118">
        <v>4.7E-2</v>
      </c>
      <c r="F22" s="115"/>
    </row>
    <row r="23" spans="1:11" s="114" customFormat="1" ht="13.2" x14ac:dyDescent="0.25">
      <c r="A23" s="188" t="s">
        <v>105</v>
      </c>
      <c r="B23" s="189"/>
      <c r="C23" s="189"/>
      <c r="D23" s="189"/>
      <c r="E23" s="118">
        <f>G6</f>
        <v>14</v>
      </c>
    </row>
    <row r="24" spans="1:11" s="114" customFormat="1" ht="13.2" x14ac:dyDescent="0.25">
      <c r="A24" s="190" t="s">
        <v>106</v>
      </c>
      <c r="B24" s="191"/>
      <c r="C24" s="191"/>
      <c r="D24" s="191"/>
      <c r="E24" s="121">
        <f>H6</f>
        <v>12</v>
      </c>
    </row>
    <row r="25" spans="1:11" s="114" customFormat="1" ht="22.2" customHeight="1" x14ac:dyDescent="0.25">
      <c r="A25" s="122" t="s">
        <v>107</v>
      </c>
      <c r="B25" s="123"/>
      <c r="C25" s="123"/>
      <c r="D25" s="123"/>
      <c r="E25" s="124">
        <f>E21*(1+E22*(E24-2))*E23</f>
        <v>132208.38959999999</v>
      </c>
      <c r="F25" s="125"/>
    </row>
    <row r="26" spans="1:11" s="114" customFormat="1" ht="13.2" x14ac:dyDescent="0.25">
      <c r="F26" s="120"/>
    </row>
    <row r="27" spans="1:11" x14ac:dyDescent="0.25">
      <c r="F27" s="114"/>
      <c r="G27" s="119"/>
      <c r="H27" s="126"/>
      <c r="I27" s="126"/>
      <c r="J27" s="119"/>
    </row>
    <row r="28" spans="1:11" s="97" customFormat="1" ht="13.2" x14ac:dyDescent="0.25">
      <c r="A28" s="127" t="s">
        <v>109</v>
      </c>
      <c r="B28" s="128"/>
      <c r="C28" s="128"/>
      <c r="D28" s="128"/>
      <c r="E28" s="113">
        <f>E17+E25</f>
        <v>264852.33880000003</v>
      </c>
      <c r="G28" s="129"/>
      <c r="H28" s="115"/>
      <c r="I28" s="115"/>
      <c r="J28" s="129"/>
    </row>
    <row r="29" spans="1:11" s="97" customFormat="1" ht="13.2" x14ac:dyDescent="0.25">
      <c r="A29" s="127"/>
      <c r="B29" s="128"/>
      <c r="C29" s="128"/>
      <c r="D29" s="128"/>
      <c r="E29" s="113"/>
      <c r="G29" s="129"/>
      <c r="H29" s="115"/>
      <c r="I29" s="115"/>
      <c r="J29" s="129"/>
    </row>
    <row r="30" spans="1:11" s="97" customFormat="1" ht="13.2" x14ac:dyDescent="0.25">
      <c r="A30" s="127" t="s">
        <v>110</v>
      </c>
      <c r="B30" s="128"/>
      <c r="C30" s="128"/>
      <c r="D30" s="128"/>
      <c r="E30" s="113">
        <f>2*2500</f>
        <v>5000</v>
      </c>
      <c r="G30" s="129"/>
      <c r="H30" s="115"/>
      <c r="I30" s="115"/>
      <c r="J30" s="129"/>
    </row>
    <row r="31" spans="1:11" s="97" customFormat="1" ht="13.2" x14ac:dyDescent="0.25">
      <c r="A31" s="127"/>
      <c r="B31" s="128"/>
      <c r="C31" s="128"/>
      <c r="D31" s="128"/>
      <c r="E31" s="113"/>
      <c r="G31" s="129"/>
      <c r="H31" s="115"/>
      <c r="I31" s="115"/>
      <c r="J31" s="129"/>
    </row>
    <row r="32" spans="1:11" s="126" customFormat="1" x14ac:dyDescent="0.25">
      <c r="A32" s="130"/>
      <c r="B32" s="115"/>
      <c r="C32" s="131"/>
      <c r="E32" s="114"/>
      <c r="F32" s="95"/>
      <c r="G32" s="95"/>
      <c r="H32" s="95"/>
      <c r="I32" s="95"/>
      <c r="J32" s="95"/>
      <c r="K32" s="119"/>
    </row>
    <row r="33" spans="1:13" s="133" customFormat="1" x14ac:dyDescent="0.25">
      <c r="A33" s="132" t="s">
        <v>111</v>
      </c>
      <c r="E33" s="115">
        <f>(E28+E30)/(B4+B5-B10)</f>
        <v>4.7053918213902106</v>
      </c>
      <c r="F33" s="126"/>
      <c r="G33" s="95"/>
      <c r="H33" s="95"/>
      <c r="I33" s="95"/>
      <c r="J33" s="95"/>
      <c r="K33" s="129"/>
      <c r="M33" s="115"/>
    </row>
    <row r="34" spans="1:13" x14ac:dyDescent="0.25">
      <c r="F34" s="115"/>
    </row>
  </sheetData>
  <mergeCells count="8">
    <mergeCell ref="A23:D23"/>
    <mergeCell ref="A24:D24"/>
    <mergeCell ref="A13:D13"/>
    <mergeCell ref="A14:D14"/>
    <mergeCell ref="A15:D15"/>
    <mergeCell ref="A16:D16"/>
    <mergeCell ref="A21:D21"/>
    <mergeCell ref="A22:D2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3"/>
  <sheetViews>
    <sheetView tabSelected="1" topLeftCell="A22" workbookViewId="0">
      <selection activeCell="A25" sqref="A25:C29"/>
    </sheetView>
  </sheetViews>
  <sheetFormatPr defaultRowHeight="13.8" x14ac:dyDescent="0.25"/>
  <cols>
    <col min="1" max="1" width="21.77734375" style="93" customWidth="1"/>
    <col min="2" max="5" width="13.88671875" style="93" customWidth="1"/>
    <col min="6" max="7" width="13.6640625" style="93" customWidth="1"/>
    <col min="8" max="13" width="13.77734375" style="93" customWidth="1"/>
    <col min="14" max="16384" width="8.88671875" style="93"/>
  </cols>
  <sheetData>
    <row r="2" spans="1:5" x14ac:dyDescent="0.25">
      <c r="A2" s="30"/>
      <c r="B2" s="30" t="s">
        <v>120</v>
      </c>
      <c r="C2" s="30" t="s">
        <v>121</v>
      </c>
      <c r="D2" s="30" t="s">
        <v>122</v>
      </c>
      <c r="E2" s="30" t="s">
        <v>123</v>
      </c>
    </row>
    <row r="3" spans="1:5" s="160" customFormat="1" ht="12" x14ac:dyDescent="0.25">
      <c r="A3" s="160" t="s">
        <v>124</v>
      </c>
      <c r="B3" s="31">
        <v>60368.2</v>
      </c>
      <c r="C3" s="31">
        <v>19244.8</v>
      </c>
      <c r="D3" s="31">
        <v>10616.9</v>
      </c>
      <c r="E3" s="31">
        <f>SUM(B3:D3)</f>
        <v>90229.9</v>
      </c>
    </row>
    <row r="4" spans="1:5" s="160" customFormat="1" ht="12" x14ac:dyDescent="0.25">
      <c r="A4" s="160" t="s">
        <v>125</v>
      </c>
      <c r="B4" s="31">
        <v>2355.1</v>
      </c>
      <c r="C4" s="31">
        <v>0</v>
      </c>
      <c r="D4" s="31">
        <v>0</v>
      </c>
      <c r="E4" s="31">
        <f t="shared" ref="E4:E5" si="0">SUM(B4:D4)</f>
        <v>2355.1</v>
      </c>
    </row>
    <row r="5" spans="1:5" s="160" customFormat="1" ht="12" x14ac:dyDescent="0.25">
      <c r="A5" s="160" t="s">
        <v>126</v>
      </c>
      <c r="B5" s="31">
        <v>9394.7999999999993</v>
      </c>
      <c r="C5" s="31">
        <v>0</v>
      </c>
      <c r="D5" s="31">
        <v>0</v>
      </c>
      <c r="E5" s="31">
        <f t="shared" si="0"/>
        <v>9394.7999999999993</v>
      </c>
    </row>
    <row r="6" spans="1:5" s="160" customFormat="1" ht="12" x14ac:dyDescent="0.25">
      <c r="B6" s="33">
        <f>SUM(B3:B5)</f>
        <v>72118.099999999991</v>
      </c>
      <c r="C6" s="33">
        <f t="shared" ref="C6:D6" si="1">SUM(C3:C5)</f>
        <v>19244.8</v>
      </c>
      <c r="D6" s="33">
        <f t="shared" si="1"/>
        <v>10616.9</v>
      </c>
      <c r="E6" s="33">
        <f>SUM(E3:E5)</f>
        <v>101979.8</v>
      </c>
    </row>
    <row r="7" spans="1:5" s="160" customFormat="1" ht="12" x14ac:dyDescent="0.25">
      <c r="A7" s="160" t="s">
        <v>127</v>
      </c>
      <c r="B7" s="161">
        <v>275</v>
      </c>
    </row>
    <row r="10" spans="1:5" s="160" customFormat="1" ht="12" x14ac:dyDescent="0.25">
      <c r="A10" s="160" t="s">
        <v>128</v>
      </c>
      <c r="B10" s="162">
        <v>644225</v>
      </c>
    </row>
    <row r="11" spans="1:5" s="160" customFormat="1" ht="12" x14ac:dyDescent="0.25">
      <c r="B11" s="162"/>
    </row>
    <row r="12" spans="1:5" s="160" customFormat="1" ht="12" x14ac:dyDescent="0.25">
      <c r="A12" s="30" t="s">
        <v>120</v>
      </c>
      <c r="B12" s="162">
        <v>455583</v>
      </c>
    </row>
    <row r="13" spans="1:5" s="160" customFormat="1" ht="12" x14ac:dyDescent="0.25">
      <c r="A13" s="30" t="s">
        <v>121</v>
      </c>
      <c r="B13" s="162">
        <v>121573</v>
      </c>
    </row>
    <row r="14" spans="1:5" s="160" customFormat="1" ht="12" x14ac:dyDescent="0.25">
      <c r="A14" s="30" t="s">
        <v>122</v>
      </c>
      <c r="B14" s="162">
        <v>67069</v>
      </c>
    </row>
    <row r="15" spans="1:5" s="160" customFormat="1" ht="12" x14ac:dyDescent="0.25"/>
    <row r="17" spans="1:15" s="45" customFormat="1" ht="45.6" x14ac:dyDescent="0.25">
      <c r="A17" s="39" t="s">
        <v>48</v>
      </c>
      <c r="B17" s="69" t="s">
        <v>112</v>
      </c>
      <c r="C17" s="41" t="s">
        <v>61</v>
      </c>
      <c r="D17" s="41" t="s">
        <v>62</v>
      </c>
      <c r="E17" s="43" t="s">
        <v>63</v>
      </c>
      <c r="G17" s="39" t="s">
        <v>90</v>
      </c>
      <c r="H17" s="69" t="s">
        <v>115</v>
      </c>
      <c r="I17" s="40" t="s">
        <v>116</v>
      </c>
      <c r="J17" s="143" t="s">
        <v>117</v>
      </c>
      <c r="K17" s="143" t="s">
        <v>118</v>
      </c>
      <c r="L17" s="69" t="s">
        <v>76</v>
      </c>
      <c r="M17" s="144" t="s">
        <v>32</v>
      </c>
    </row>
    <row r="18" spans="1:15" s="45" customFormat="1" ht="12" x14ac:dyDescent="0.25">
      <c r="A18" s="46"/>
      <c r="B18" s="47"/>
      <c r="C18" s="47"/>
      <c r="D18" s="47"/>
      <c r="E18" s="70"/>
      <c r="G18" s="145" t="s">
        <v>119</v>
      </c>
      <c r="H18" s="47">
        <f>4.94*E3</f>
        <v>445735.70600000001</v>
      </c>
      <c r="I18" s="47">
        <f>H18*I21/H21</f>
        <v>522789.62879449682</v>
      </c>
      <c r="J18" s="146">
        <f>I18/E3</f>
        <v>5.7939732704402518</v>
      </c>
      <c r="K18" s="147">
        <v>4.9400000000000004</v>
      </c>
      <c r="L18" s="148">
        <f>J18-K18</f>
        <v>0.8539732704402514</v>
      </c>
      <c r="M18" s="149">
        <f>J18/K18*100-100</f>
        <v>17.286908308507122</v>
      </c>
    </row>
    <row r="19" spans="1:15" s="53" customFormat="1" ht="24" x14ac:dyDescent="0.25">
      <c r="A19" s="71" t="s">
        <v>113</v>
      </c>
      <c r="B19" s="51">
        <v>644225</v>
      </c>
      <c r="C19" s="51">
        <f>B19</f>
        <v>644225</v>
      </c>
      <c r="D19" s="51">
        <f>C19*95%*1%</f>
        <v>6120.1374999999998</v>
      </c>
      <c r="E19" s="72">
        <f>(C19+D19)*10%</f>
        <v>65034.513749999998</v>
      </c>
      <c r="G19" s="150" t="s">
        <v>44</v>
      </c>
      <c r="H19" s="73">
        <f>4.94*E4</f>
        <v>11634.194000000001</v>
      </c>
      <c r="I19" s="73">
        <f>H19*I21/H21</f>
        <v>13645.386449213838</v>
      </c>
      <c r="J19" s="151">
        <f>I19/E4</f>
        <v>5.7939732704402527</v>
      </c>
      <c r="K19" s="152">
        <v>4.9400000000000004</v>
      </c>
      <c r="L19" s="148">
        <f>J19-K19</f>
        <v>0.85397327044025229</v>
      </c>
      <c r="M19" s="149">
        <f>J19/K19*100-100</f>
        <v>17.286908308507122</v>
      </c>
    </row>
    <row r="20" spans="1:15" s="66" customFormat="1" ht="12" x14ac:dyDescent="0.25">
      <c r="A20" s="60"/>
      <c r="B20" s="61"/>
      <c r="C20" s="61"/>
      <c r="D20" s="61"/>
      <c r="E20" s="74"/>
      <c r="G20" s="150" t="s">
        <v>45</v>
      </c>
      <c r="H20" s="73">
        <f>554.8*275</f>
        <v>152570</v>
      </c>
      <c r="I20" s="73">
        <f>H20*I21/H21</f>
        <v>178944.63600628928</v>
      </c>
      <c r="J20" s="151">
        <f>I20/275</f>
        <v>650.70776729559736</v>
      </c>
      <c r="K20" s="152">
        <v>554.79999999999995</v>
      </c>
      <c r="L20" s="153">
        <f>J20-K20</f>
        <v>95.907767295597409</v>
      </c>
      <c r="M20" s="154">
        <f>J20/K20*100-100</f>
        <v>17.286908308507094</v>
      </c>
    </row>
    <row r="21" spans="1:15" s="68" customFormat="1" ht="14.4" x14ac:dyDescent="0.3">
      <c r="A21" s="67"/>
      <c r="B21" s="67"/>
      <c r="C21" s="67"/>
      <c r="D21" s="67"/>
      <c r="E21" s="67"/>
      <c r="F21" s="67"/>
      <c r="G21" s="155"/>
      <c r="H21" s="156">
        <f>SUM(H18:H20)</f>
        <v>609939.9</v>
      </c>
      <c r="I21" s="156">
        <f>C19+D19+E19</f>
        <v>715379.65125</v>
      </c>
      <c r="J21" s="157"/>
      <c r="K21" s="157"/>
      <c r="L21" s="158"/>
      <c r="M21" s="159"/>
    </row>
    <row r="22" spans="1:15" s="68" customFormat="1" ht="14.4" x14ac:dyDescent="0.3">
      <c r="A22" s="28"/>
      <c r="C22" s="28"/>
      <c r="D22" s="28"/>
      <c r="E22" s="28"/>
      <c r="F22" s="28"/>
      <c r="G22" s="28"/>
      <c r="H22" s="28"/>
      <c r="I22" s="67"/>
      <c r="J22" s="67"/>
      <c r="K22" s="67"/>
      <c r="L22" s="67"/>
      <c r="M22" s="67"/>
      <c r="N22" s="67"/>
      <c r="O22" s="67"/>
    </row>
    <row r="24" spans="1:15" x14ac:dyDescent="0.25">
      <c r="A24" s="93" t="s">
        <v>129</v>
      </c>
    </row>
    <row r="25" spans="1:15" ht="34.200000000000003" x14ac:dyDescent="0.25">
      <c r="A25" s="165"/>
      <c r="B25" s="163" t="s">
        <v>112</v>
      </c>
      <c r="C25" s="166" t="s">
        <v>62</v>
      </c>
    </row>
    <row r="26" spans="1:15" x14ac:dyDescent="0.25">
      <c r="A26" s="167" t="s">
        <v>120</v>
      </c>
      <c r="B26" s="164">
        <v>488416.19130991423</v>
      </c>
      <c r="C26" s="168">
        <f>B26*95%*1%</f>
        <v>4639.953817444185</v>
      </c>
    </row>
    <row r="27" spans="1:15" x14ac:dyDescent="0.25">
      <c r="A27" s="167" t="s">
        <v>121</v>
      </c>
      <c r="B27" s="164">
        <v>100413.21697957454</v>
      </c>
      <c r="C27" s="168">
        <f t="shared" ref="C27:C28" si="2">B27*95%*1%</f>
        <v>953.92556130595813</v>
      </c>
    </row>
    <row r="28" spans="1:15" x14ac:dyDescent="0.25">
      <c r="A28" s="167" t="s">
        <v>122</v>
      </c>
      <c r="B28" s="164">
        <v>55395.591710511151</v>
      </c>
      <c r="C28" s="168">
        <f t="shared" si="2"/>
        <v>526.25812124985589</v>
      </c>
    </row>
    <row r="29" spans="1:15" x14ac:dyDescent="0.25">
      <c r="A29" s="169" t="s">
        <v>91</v>
      </c>
      <c r="B29" s="170">
        <f>SUM(B26:B28)</f>
        <v>644224.99999999988</v>
      </c>
      <c r="C29" s="171">
        <f>SUM(C26:C28)</f>
        <v>6120.1374999999998</v>
      </c>
    </row>
    <row r="30" spans="1:15" x14ac:dyDescent="0.25">
      <c r="B30" s="162"/>
      <c r="C30" s="162"/>
      <c r="D30" s="162"/>
      <c r="E30" s="162"/>
    </row>
    <row r="31" spans="1:15" x14ac:dyDescent="0.25">
      <c r="B31" s="162"/>
      <c r="C31" s="162"/>
      <c r="D31" s="162"/>
      <c r="E31" s="162"/>
    </row>
    <row r="32" spans="1:15" x14ac:dyDescent="0.25">
      <c r="B32" s="162"/>
      <c r="C32" s="162"/>
      <c r="D32" s="162"/>
      <c r="E32" s="162"/>
    </row>
    <row r="33" spans="2:5" x14ac:dyDescent="0.25">
      <c r="B33" s="162"/>
      <c r="C33" s="162"/>
      <c r="D33" s="162"/>
      <c r="E33" s="16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Тарифы к ОСС_жилье</vt:lpstr>
      <vt:lpstr>Тарифы к ОСС_нежилье</vt:lpstr>
      <vt:lpstr>Тарифы к ОСС_паркинг</vt:lpstr>
      <vt:lpstr>Разъяснения</vt:lpstr>
      <vt:lpstr>Лифты_формула</vt:lpstr>
      <vt:lpstr>Охрана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Сентякова Екатерина</dc:creator>
  <cp:lastModifiedBy>user</cp:lastModifiedBy>
  <dcterms:created xsi:type="dcterms:W3CDTF">2022-10-26T08:34:31Z</dcterms:created>
  <dcterms:modified xsi:type="dcterms:W3CDTF">2022-11-24T11:27:23Z</dcterms:modified>
</cp:coreProperties>
</file>