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-pc\Downloads\"/>
    </mc:Choice>
  </mc:AlternateContent>
  <bookViews>
    <workbookView xWindow="0" yWindow="0" windowWidth="28800" windowHeight="13035"/>
  </bookViews>
  <sheets>
    <sheet name="Тарифы к ОСС_жилье" sheetId="1" r:id="rId1"/>
    <sheet name="Разъяснения" sheetId="4" r:id="rId2"/>
    <sheet name="Лифты_формула" sheetId="7" r:id="rId3"/>
    <sheet name="Охрана" sheetId="10" r:id="rId4"/>
  </sheets>
  <externalReferences>
    <externalReference r:id="rId5"/>
  </externalReferences>
  <definedNames>
    <definedName name="_1" localSheetId="2" hidden="1">#REF!,#REF!</definedName>
    <definedName name="_1" hidden="1">#REF!,#REF!</definedName>
    <definedName name="csDesignMode">1</definedName>
    <definedName name="EUR_C" localSheetId="2">#REF!</definedName>
    <definedName name="EUR_C" localSheetId="1">#REF!</definedName>
    <definedName name="EUR_C">#REF!</definedName>
    <definedName name="EUR_O" localSheetId="2">#REF!</definedName>
    <definedName name="EUR_O" localSheetId="1">#REF!</definedName>
    <definedName name="EUR_O">#REF!</definedName>
    <definedName name="Excel_BuiltIn_Print_Area" localSheetId="2">#REF!</definedName>
    <definedName name="Excel_BuiltIn_Print_Area" localSheetId="1">#REF!</definedName>
    <definedName name="Excel_BuiltIn_Print_Area">#REF!</definedName>
    <definedName name="f" localSheetId="2" hidden="1">#REF!,#REF!,#REF!</definedName>
    <definedName name="f" localSheetId="1" hidden="1">#REF!,#REF!,#REF!</definedName>
    <definedName name="f" hidden="1">#REF!,#REF!,#REF!</definedName>
    <definedName name="limcount" hidden="1">1</definedName>
    <definedName name="Print_Area" localSheetId="2">#REF!</definedName>
    <definedName name="Print_Area">#REF!</definedName>
    <definedName name="USD_C" localSheetId="2">#REF!</definedName>
    <definedName name="USD_C" localSheetId="1">#REF!</definedName>
    <definedName name="USD_C">#REF!</definedName>
    <definedName name="USD_O" localSheetId="2">#REF!</definedName>
    <definedName name="USD_O" localSheetId="1">#REF!</definedName>
    <definedName name="USD_O">#REF!</definedName>
    <definedName name="Z_0885457D_12CF_4923_864D_998BA35CE01D_.wvu.Cols" localSheetId="2" hidden="1">#REF!,#REF!</definedName>
    <definedName name="Z_0885457D_12CF_4923_864D_998BA35CE01D_.wvu.Cols" localSheetId="1" hidden="1">#REF!,#REF!</definedName>
    <definedName name="Z_0885457D_12CF_4923_864D_998BA35CE01D_.wvu.Cols" hidden="1">#REF!,#REF!</definedName>
    <definedName name="Z_0885457D_12CF_4923_864D_998BA35CE01D_.wvu.Rows" localSheetId="2" hidden="1">#REF!,#REF!,#REF!</definedName>
    <definedName name="Z_0885457D_12CF_4923_864D_998BA35CE01D_.wvu.Rows" localSheetId="1" hidden="1">#REF!,#REF!,#REF!</definedName>
    <definedName name="Z_0885457D_12CF_4923_864D_998BA35CE01D_.wvu.Rows" hidden="1">#REF!,#REF!,#REF!</definedName>
    <definedName name="Z_0885457D_12CF_4923_864D_998BA35CE01D__wvu_Cols" localSheetId="2">(#REF!,#REF!)</definedName>
    <definedName name="Z_0885457D_12CF_4923_864D_998BA35CE01D__wvu_Cols" localSheetId="1">(#REF!,#REF!)</definedName>
    <definedName name="Z_0885457D_12CF_4923_864D_998BA35CE01D__wvu_Cols">(#REF!,#REF!)</definedName>
    <definedName name="Z_0885457D_12CF_4923_864D_998BA35CE01D__wvu_Rows" localSheetId="2">(#REF!,#REF!,#REF!)</definedName>
    <definedName name="Z_0885457D_12CF_4923_864D_998BA35CE01D__wvu_Rows" localSheetId="1">(#REF!,#REF!,#REF!)</definedName>
    <definedName name="Z_0885457D_12CF_4923_864D_998BA35CE01D__wvu_Rows">(#REF!,#REF!,#REF!)</definedName>
    <definedName name="Z_144EA558_4B8B_4239_858D_3D3B320E64FA_.wvu.Cols" localSheetId="2" hidden="1">#REF!,#REF!</definedName>
    <definedName name="Z_144EA558_4B8B_4239_858D_3D3B320E64FA_.wvu.Cols" localSheetId="1" hidden="1">#REF!,#REF!</definedName>
    <definedName name="Z_144EA558_4B8B_4239_858D_3D3B320E64FA_.wvu.Cols" hidden="1">#REF!,#REF!</definedName>
    <definedName name="Z_144EA558_4B8B_4239_858D_3D3B320E64FA_.wvu.PrintArea" localSheetId="2" hidden="1">#REF!</definedName>
    <definedName name="Z_144EA558_4B8B_4239_858D_3D3B320E64FA_.wvu.PrintArea" localSheetId="1" hidden="1">#REF!</definedName>
    <definedName name="Z_144EA558_4B8B_4239_858D_3D3B320E64FA_.wvu.PrintArea" hidden="1">#REF!</definedName>
    <definedName name="Z_144EA558_4B8B_4239_858D_3D3B320E64FA__wvu_Cols" localSheetId="2">(#REF!,#REF!)</definedName>
    <definedName name="Z_144EA558_4B8B_4239_858D_3D3B320E64FA__wvu_Cols" localSheetId="1">(#REF!,#REF!)</definedName>
    <definedName name="Z_144EA558_4B8B_4239_858D_3D3B320E64FA__wvu_Cols">(#REF!,#REF!)</definedName>
    <definedName name="Z_144EA558_4B8B_4239_858D_3D3B320E64FA__wvu_PrintArea" localSheetId="2">#REF!</definedName>
    <definedName name="Z_144EA558_4B8B_4239_858D_3D3B320E64FA__wvu_PrintArea" localSheetId="1">#REF!</definedName>
    <definedName name="Z_144EA558_4B8B_4239_858D_3D3B320E64FA__wvu_PrintArea">#REF!</definedName>
    <definedName name="Z_2D3F4D39_1D20_491A_8BE9_2F4C8E41EE2A_.wvu.Cols" localSheetId="2" hidden="1">#REF!</definedName>
    <definedName name="Z_2D3F4D39_1D20_491A_8BE9_2F4C8E41EE2A_.wvu.Cols" localSheetId="1" hidden="1">#REF!</definedName>
    <definedName name="Z_2D3F4D39_1D20_491A_8BE9_2F4C8E41EE2A_.wvu.Cols" hidden="1">#REF!</definedName>
    <definedName name="Z_2D3F4D39_1D20_491A_8BE9_2F4C8E41EE2A__wvu_Cols" localSheetId="2">#REF!</definedName>
    <definedName name="Z_2D3F4D39_1D20_491A_8BE9_2F4C8E41EE2A__wvu_Cols" localSheetId="1">#REF!</definedName>
    <definedName name="Z_2D3F4D39_1D20_491A_8BE9_2F4C8E41EE2A__wvu_Cols">#REF!</definedName>
    <definedName name="ZSER" localSheetId="2" hidden="1">#REF!</definedName>
    <definedName name="ZSER" localSheetId="1" hidden="1">#REF!</definedName>
    <definedName name="ZSER" hidden="1">#REF!</definedName>
    <definedName name="аа" localSheetId="2">#REF!</definedName>
    <definedName name="аа" localSheetId="1">#REF!</definedName>
    <definedName name="аа">#REF!</definedName>
    <definedName name="Август" localSheetId="2" hidden="1">#REF!,#REF!</definedName>
    <definedName name="Август" localSheetId="1" hidden="1">#REF!,#REF!</definedName>
    <definedName name="Август" hidden="1">#REF!,#REF!</definedName>
    <definedName name="АУП_01" localSheetId="2">#REF!</definedName>
    <definedName name="АУП_01" localSheetId="1">#REF!</definedName>
    <definedName name="АУП_01">#REF!</definedName>
    <definedName name="БДР_12" localSheetId="2" hidden="1">#REF!,#REF!</definedName>
    <definedName name="БДР_12" localSheetId="1" hidden="1">#REF!,#REF!</definedName>
    <definedName name="БДР_12" hidden="1">#REF!,#REF!</definedName>
    <definedName name="БДР_2011" localSheetId="2">#REF!</definedName>
    <definedName name="БДР_2011" localSheetId="1">#REF!</definedName>
    <definedName name="БДР_2011">#REF!</definedName>
    <definedName name="варш" localSheetId="2">#REF!</definedName>
    <definedName name="варш">#REF!</definedName>
    <definedName name="газ" localSheetId="2">#REF!</definedName>
    <definedName name="газ" localSheetId="1">#REF!</definedName>
    <definedName name="газ">#REF!</definedName>
    <definedName name="Евро" localSheetId="2">[1]плат.календарь!#REF!</definedName>
    <definedName name="Евро" localSheetId="1">[1]плат.календарь!#REF!</definedName>
    <definedName name="Евро">[1]плат.календарь!#REF!</definedName>
    <definedName name="еееееее" localSheetId="2" hidden="1">#REF!</definedName>
    <definedName name="еееееее" localSheetId="1" hidden="1">#REF!</definedName>
    <definedName name="еееееее" hidden="1">#REF!</definedName>
    <definedName name="ж58545" localSheetId="2">#REF!</definedName>
    <definedName name="ж58545" localSheetId="1">#REF!</definedName>
    <definedName name="ж58545">#REF!</definedName>
    <definedName name="Иностранцы" localSheetId="2" hidden="1">#REF!,#REF!</definedName>
    <definedName name="Иностранцы" localSheetId="1" hidden="1">#REF!,#REF!</definedName>
    <definedName name="Иностранцы" hidden="1">#REF!,#REF!</definedName>
    <definedName name="ккк" localSheetId="2">#REF!</definedName>
    <definedName name="ккк" localSheetId="1">#REF!</definedName>
    <definedName name="ккк">#REF!</definedName>
    <definedName name="лазурное" localSheetId="2">#REF!</definedName>
    <definedName name="лазурное" localSheetId="1">#REF!</definedName>
    <definedName name="лазурное">#REF!</definedName>
    <definedName name="МАЙ" localSheetId="2">#REF!</definedName>
    <definedName name="МАЙ" localSheetId="1">#REF!</definedName>
    <definedName name="МАЙ">#REF!</definedName>
    <definedName name="мир" localSheetId="2">#REF!</definedName>
    <definedName name="мир" localSheetId="1">#REF!</definedName>
    <definedName name="мир">#REF!</definedName>
    <definedName name="монблан" localSheetId="2" hidden="1">#REF!,#REF!,#REF!</definedName>
    <definedName name="монблан" localSheetId="1" hidden="1">#REF!,#REF!,#REF!</definedName>
    <definedName name="монблан" hidden="1">#REF!,#REF!,#REF!</definedName>
    <definedName name="НДС" localSheetId="2">#REF!</definedName>
    <definedName name="НДС" localSheetId="1">#REF!</definedName>
    <definedName name="НДС">#REF!</definedName>
    <definedName name="новый" localSheetId="2" hidden="1">#REF!,#REF!,#REF!</definedName>
    <definedName name="новый" localSheetId="1" hidden="1">#REF!,#REF!,#REF!</definedName>
    <definedName name="новый" hidden="1">#REF!,#REF!,#REF!</definedName>
    <definedName name="_xlnm.Print_Area" localSheetId="2">#REF!</definedName>
    <definedName name="_xlnm.Print_Area" localSheetId="1">#REF!</definedName>
    <definedName name="_xlnm.Print_Area">#REF!</definedName>
    <definedName name="объектымай" localSheetId="2" hidden="1">#REF!,#REF!</definedName>
    <definedName name="объектымай" localSheetId="1" hidden="1">#REF!,#REF!</definedName>
    <definedName name="объектымай" hidden="1">#REF!,#REF!</definedName>
    <definedName name="пмарплго" localSheetId="2" hidden="1">#REF!,#REF!</definedName>
    <definedName name="пмарплго" localSheetId="1" hidden="1">#REF!,#REF!</definedName>
    <definedName name="пмарплго" hidden="1">#REF!,#REF!</definedName>
    <definedName name="ппп" localSheetId="2">#REF!</definedName>
    <definedName name="ппп" localSheetId="1">#REF!</definedName>
    <definedName name="ппп">#REF!</definedName>
    <definedName name="пр" localSheetId="2" hidden="1">#REF!,#REF!,#REF!</definedName>
    <definedName name="пр" localSheetId="1" hidden="1">#REF!,#REF!,#REF!</definedName>
    <definedName name="пр" hidden="1">#REF!,#REF!,#REF!</definedName>
    <definedName name="ррррр" localSheetId="2" hidden="1">#REF!</definedName>
    <definedName name="ррррр" localSheetId="1" hidden="1">#REF!</definedName>
    <definedName name="ррррр" hidden="1">#REF!</definedName>
    <definedName name="срочные" localSheetId="2">[1]плат.календарь!#REF!</definedName>
    <definedName name="срочные" localSheetId="1">[1]плат.календарь!#REF!</definedName>
    <definedName name="срочные">[1]плат.календарь!#REF!</definedName>
    <definedName name="тося" localSheetId="2">#REF!</definedName>
    <definedName name="тося" localSheetId="1">#REF!</definedName>
    <definedName name="тося">#REF!</definedName>
    <definedName name="ф" localSheetId="2">#REF!</definedName>
    <definedName name="ф" localSheetId="1">#REF!</definedName>
    <definedName name="ф">#REF!</definedName>
    <definedName name="ФОТобъектымай" localSheetId="2" hidden="1">#REF!,#REF!</definedName>
    <definedName name="ФОТобъектымай" localSheetId="1" hidden="1">#REF!,#REF!</definedName>
    <definedName name="ФОТобъектымай" hidden="1">#REF!,#REF!</definedName>
    <definedName name="х_265" localSheetId="2" hidden="1">#REF!,#REF!,#REF!</definedName>
    <definedName name="х_265" localSheetId="1" hidden="1">#REF!,#REF!,#REF!</definedName>
    <definedName name="х_265" hidden="1">#REF!,#REF!,#REF!</definedName>
    <definedName name="юз" localSheetId="2" hidden="1">#REF!,#REF!,#REF!</definedName>
    <definedName name="юз" localSheetId="1" hidden="1">#REF!,#REF!,#REF!</definedName>
    <definedName name="юз" hidden="1">#REF!,#REF!,#REF!</definedName>
    <definedName name="ЮЗ13" localSheetId="2" hidden="1">#REF!,#REF!</definedName>
    <definedName name="ЮЗ13" localSheetId="1" hidden="1">#REF!,#REF!</definedName>
    <definedName name="ЮЗ13" hidden="1">#REF!,#REF!</definedName>
    <definedName name="ююююююююююююю" localSheetId="2">#REF!</definedName>
    <definedName name="ююююююююююююю" localSheetId="1">#REF!</definedName>
    <definedName name="юююююююююююю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B29" i="10"/>
  <c r="C28" i="10"/>
  <c r="C27" i="10"/>
  <c r="C26" i="10"/>
  <c r="C29" i="10" s="1"/>
  <c r="E23" i="1"/>
  <c r="J19" i="10" l="1"/>
  <c r="J18" i="10"/>
  <c r="I21" i="10"/>
  <c r="H19" i="10"/>
  <c r="H18" i="10"/>
  <c r="H20" i="10"/>
  <c r="C19" i="10"/>
  <c r="H21" i="10"/>
  <c r="C6" i="10"/>
  <c r="D6" i="10"/>
  <c r="B6" i="10"/>
  <c r="E4" i="10"/>
  <c r="E5" i="10"/>
  <c r="E3" i="10"/>
  <c r="E6" i="10" s="1"/>
  <c r="D19" i="10" l="1"/>
  <c r="E19" i="10" l="1"/>
  <c r="I19" i="10" l="1"/>
  <c r="I20" i="10"/>
  <c r="J20" i="10" s="1"/>
  <c r="I18" i="10"/>
  <c r="M20" i="10" l="1"/>
  <c r="L20" i="10"/>
  <c r="L18" i="10"/>
  <c r="M18" i="10"/>
  <c r="L19" i="10"/>
  <c r="M19" i="10"/>
  <c r="D3" i="4" l="1"/>
  <c r="D6" i="4" s="1"/>
  <c r="D21" i="4" l="1"/>
  <c r="C21" i="4"/>
  <c r="E30" i="7" l="1"/>
  <c r="C36" i="4"/>
  <c r="C32" i="4"/>
  <c r="C30" i="4"/>
  <c r="C29" i="4"/>
  <c r="C27" i="4"/>
  <c r="C26" i="4"/>
  <c r="J14" i="4"/>
  <c r="J11" i="4"/>
  <c r="F14" i="4"/>
  <c r="E21" i="4" l="1"/>
  <c r="E24" i="7" l="1"/>
  <c r="E23" i="7"/>
  <c r="E16" i="7"/>
  <c r="E15" i="7"/>
  <c r="B7" i="7"/>
  <c r="E25" i="7" l="1"/>
  <c r="E17" i="7"/>
  <c r="E28" i="7" l="1"/>
  <c r="E33" i="7" s="1"/>
  <c r="E20" i="1" s="1"/>
  <c r="K14" i="4" l="1"/>
  <c r="E12" i="4" l="1"/>
  <c r="C37" i="4"/>
  <c r="M14" i="4" s="1"/>
  <c r="C31" i="4"/>
  <c r="C33" i="4"/>
  <c r="M11" i="4" s="1"/>
  <c r="E19" i="4"/>
  <c r="L14" i="4"/>
  <c r="E14" i="4"/>
  <c r="L12" i="4"/>
  <c r="K12" i="4"/>
  <c r="E11" i="4"/>
  <c r="H11" i="4" s="1"/>
  <c r="B6" i="4"/>
  <c r="I11" i="4" l="1"/>
  <c r="F19" i="4"/>
  <c r="F21" i="4"/>
  <c r="G14" i="4"/>
  <c r="G12" i="4"/>
  <c r="H12" i="4" s="1"/>
  <c r="I12" i="4" s="1"/>
  <c r="N11" i="4" l="1"/>
  <c r="G19" i="4"/>
  <c r="H19" i="4" s="1"/>
  <c r="G21" i="4"/>
  <c r="H21" i="4" s="1"/>
  <c r="H14" i="4"/>
  <c r="E12" i="1" l="1"/>
  <c r="K19" i="4"/>
  <c r="J19" i="4"/>
  <c r="E13" i="1"/>
  <c r="J21" i="4"/>
  <c r="K21" i="4"/>
  <c r="O11" i="4"/>
  <c r="P11" i="4" s="1"/>
  <c r="I14" i="4"/>
  <c r="N14" i="4" s="1"/>
  <c r="Q11" i="4" l="1"/>
  <c r="T11" i="4" s="1"/>
  <c r="E10" i="1" l="1"/>
  <c r="S11" i="4"/>
  <c r="O14" i="4"/>
  <c r="P14" i="4" l="1"/>
  <c r="Q14" i="4"/>
  <c r="E22" i="1" l="1"/>
  <c r="S14" i="4"/>
  <c r="T14" i="4"/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D9" i="1"/>
  <c r="G9" i="1" l="1"/>
  <c r="F9" i="1"/>
</calcChain>
</file>

<file path=xl/sharedStrings.xml><?xml version="1.0" encoding="utf-8"?>
<sst xmlns="http://schemas.openxmlformats.org/spreadsheetml/2006/main" count="162" uniqueCount="113">
  <si>
    <t xml:space="preserve"> </t>
  </si>
  <si>
    <t>Наименование</t>
  </si>
  <si>
    <t>Ед. измерения (в месяц)</t>
  </si>
  <si>
    <t>I</t>
  </si>
  <si>
    <t>Содержание и ремонт жилого помещения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</si>
  <si>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Содержание общего имущества в многоквартирном доме</t>
    </r>
  </si>
  <si>
    <t>руб. /кв.м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</si>
  <si>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Текущий ремонт общего имущества в многоквартирном доме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</si>
  <si>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мест общего пользования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</si>
  <si>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Санитарное содержание придомовой территории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</si>
  <si>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переговорно-замочного устройства (ПЗУ)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</si>
  <si>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 автоматической противопожарной защиты (АППЗ)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</si>
  <si>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системы контроля управления доступом и видеонаблюдения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</si>
  <si>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 xml:space="preserve">Эксплуатация коллективных приборов учета электрической энергии 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</si>
  <si>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тепловой энергии и горячей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</si>
  <si>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холодной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</si>
  <si>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Обслуживание, освидетельствование, страхование  лифтов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</si>
  <si>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Аварийно-диспетчерская служба</t>
    </r>
  </si>
  <si>
    <r>
      <t xml:space="preserve">· </t>
    </r>
    <r>
      <rPr>
        <i/>
        <sz val="12"/>
        <color indexed="8"/>
        <rFont val="Aparajita"/>
        <family val="2"/>
      </rPr>
      <t>Служба администраторов территории</t>
    </r>
  </si>
  <si>
    <r>
      <t>·</t>
    </r>
    <r>
      <rPr>
        <sz val="12"/>
        <color indexed="8"/>
        <rFont val="Times New Roman"/>
        <family val="1"/>
        <charset val="204"/>
      </rPr>
      <t>  </t>
    </r>
    <r>
      <rPr>
        <i/>
        <sz val="12"/>
        <color indexed="8"/>
        <rFont val="Arial"/>
        <family val="2"/>
        <charset val="204"/>
      </rPr>
      <t>Управление многоквартирным домом</t>
    </r>
  </si>
  <si>
    <t xml:space="preserve">Тариф действующий </t>
  </si>
  <si>
    <t>Тариф новый</t>
  </si>
  <si>
    <t>Отклонение, руб./м2</t>
  </si>
  <si>
    <t>Отклонение, %</t>
  </si>
  <si>
    <t>ПРЕЙСКУРАНТ</t>
  </si>
  <si>
    <t>УК "Космосервис Вторая"</t>
  </si>
  <si>
    <t>Общество с ограниченной ответственностью</t>
  </si>
  <si>
    <t>Площадь:</t>
  </si>
  <si>
    <t>жилье</t>
  </si>
  <si>
    <t>нежилье</t>
  </si>
  <si>
    <t>паркинг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</si>
  <si>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</si>
  <si>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</si>
  <si>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</si>
  <si>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</si>
  <si>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</si>
  <si>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</si>
  <si>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</si>
  <si>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</si>
  <si>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</si>
  <si>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</si>
  <si>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</si>
  <si>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</si>
  <si>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</si>
  <si>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</si>
  <si>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</si>
  <si>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</si>
  <si>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</si>
  <si>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</si>
  <si>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</si>
  <si>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Помощник управляющего</t>
  </si>
  <si>
    <t>Техник по эксплуатации</t>
  </si>
  <si>
    <t>Аварийно-диспетчерская служба</t>
  </si>
  <si>
    <t>Диспетчер</t>
  </si>
  <si>
    <t>Сумма по договору с клининговой компанией, руб.</t>
  </si>
  <si>
    <t>Материалы для озеленения и весенней покраски газонных ограждений, руб.</t>
  </si>
  <si>
    <t>Услуги мех.уборки и вывоза снега, руб.</t>
  </si>
  <si>
    <t>Отклонение, руб.</t>
  </si>
  <si>
    <t>Уборка мест общего пользования, паркинга</t>
  </si>
  <si>
    <t>Санитарное содержание придомовой территории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</si>
  <si>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</si>
  <si>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</si>
  <si>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</si>
  <si>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</si>
  <si>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</si>
  <si>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</si>
  <si>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</si>
  <si>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</si>
  <si>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</si>
  <si>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</si>
  <si>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</t>
  </si>
  <si>
    <t>Служба администраторов территории и паркинга</t>
  </si>
  <si>
    <t>Итого</t>
  </si>
  <si>
    <t>Распоряжение Комитета по тарифам СПб № 145-р от 29.11.2021 (с 07.01.2022 по 31.12.2022)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</si>
  <si>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</si>
  <si>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</si>
  <si>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</si>
  <si>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</si>
  <si>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</si>
  <si>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</si>
  <si>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</si>
  <si>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</si>
  <si>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</si>
  <si>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12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</si>
  <si>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</si>
  <si>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</si>
  <si>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</si>
  <si>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</si>
  <si>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</si>
  <si>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пассажирские - грузоподъемность 450 кг, этажность 12</t>
  </si>
  <si>
    <t>Итого стоимость обслуживания лифтов, страхование, диагностика, руб.</t>
  </si>
  <si>
    <t>Обслуживания платформ подъемных</t>
  </si>
  <si>
    <t>Тариф, руб./м2</t>
  </si>
  <si>
    <t>для владельцев жилых помещений дома №14, корпус 3, ул.Летчика Лихолетова</t>
  </si>
  <si>
    <t>Сумма по договору с ЧОП, руб.</t>
  </si>
  <si>
    <t>Служба администраторов территории</t>
  </si>
  <si>
    <t>Площадь Лихолетова 14 к.2,3,4</t>
  </si>
  <si>
    <t>Доходы по старым тарифам, руб.</t>
  </si>
  <si>
    <t>Расходы, руб.</t>
  </si>
  <si>
    <t>Тариф_проект, руб./м2, руб./м/м</t>
  </si>
  <si>
    <t>Тариф действующий, руб./м2, руб./м/м</t>
  </si>
  <si>
    <t xml:space="preserve">жилье </t>
  </si>
  <si>
    <t>Жилье</t>
  </si>
  <si>
    <t>Нежилье</t>
  </si>
  <si>
    <t>Паркинг</t>
  </si>
  <si>
    <t xml:space="preserve"> Лихолетова 14 к.2</t>
  </si>
  <si>
    <t xml:space="preserve"> Лихолетова 14 к.3</t>
  </si>
  <si>
    <t xml:space="preserve"> Лихолетова 14 к.4</t>
  </si>
  <si>
    <t>Кол-во м/м</t>
  </si>
  <si>
    <t>Общая</t>
  </si>
  <si>
    <t>Общая стоимость по КП</t>
  </si>
  <si>
    <t>Стоимость с разбивкой на дома</t>
  </si>
  <si>
    <t>Тарифы, применяемые с 01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</si>
</sst>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i/>
      <sz val="14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i/>
      <sz val="12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Symbol"/>
      <family val="1"/>
      <charset val="2"/>
    </font>
    <font>
      <i/>
      <sz val="12"/>
      <color indexed="8"/>
      <name val="Aparajita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indexed="64"/>
      <name val="Arial"/>
    </font>
    <font>
      <b/>
      <i/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3">
    <xf numFmtId="0" fontId="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7" fillId="0" borderId="0"/>
    <xf numFmtId="0" fontId="35" fillId="0" borderId="0"/>
    <xf numFmtId="0" fontId="36" fillId="0" borderId="0"/>
    <xf numFmtId="0" fontId="38" fillId="0" borderId="0"/>
    <xf numFmtId="0" fontId="1" fillId="0" borderId="0"/>
  </cellStyleXfs>
  <cellXfs count="191">
    <xf numFmtId="0" fontId="0" fillId="0" borderId="0" xfId="0"/>
    <xf numFmtId="0" fontId="2" fillId="0" borderId="0" xfId="1" applyBorder="1"/>
    <xf numFmtId="0" fontId="2" fillId="0" borderId="0" xfId="1" applyFill="1" applyBorder="1" applyAlignment="1">
      <alignment vertical="center"/>
    </xf>
    <xf numFmtId="0" fontId="3" fillId="0" borderId="0" xfId="1" applyFont="1" applyBorder="1"/>
    <xf numFmtId="0" fontId="2" fillId="0" borderId="0" xfId="1" applyBorder="1" applyAlignment="1">
      <alignment horizontal="centerContinuous"/>
    </xf>
    <xf numFmtId="0" fontId="5" fillId="0" borderId="0" xfId="1" applyFont="1" applyBorder="1"/>
    <xf numFmtId="0" fontId="6" fillId="0" borderId="0" xfId="1" applyFont="1" applyFill="1" applyBorder="1" applyAlignment="1">
      <alignment horizontal="right"/>
    </xf>
    <xf numFmtId="4" fontId="2" fillId="0" borderId="0" xfId="1" applyNumberFormat="1" applyFill="1" applyBorder="1" applyAlignment="1">
      <alignment vertical="center"/>
    </xf>
    <xf numFmtId="0" fontId="7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19" fillId="0" borderId="0" xfId="3" applyFont="1"/>
    <xf numFmtId="0" fontId="20" fillId="0" borderId="0" xfId="3" applyFont="1" applyAlignment="1">
      <alignment horizontal="center" vertical="center" wrapText="1"/>
    </xf>
    <xf numFmtId="0" fontId="21" fillId="0" borderId="0" xfId="3" applyFont="1"/>
    <xf numFmtId="0" fontId="18" fillId="0" borderId="0" xfId="3"/>
    <xf numFmtId="0" fontId="20" fillId="0" borderId="0" xfId="3" applyFont="1"/>
    <xf numFmtId="4" fontId="20" fillId="0" borderId="0" xfId="3" applyNumberFormat="1" applyFont="1" applyFill="1" applyAlignment="1">
      <alignment horizontal="left"/>
    </xf>
    <xf numFmtId="4" fontId="19" fillId="0" borderId="0" xfId="3" applyNumberFormat="1" applyFont="1" applyAlignment="1">
      <alignment horizontal="left"/>
    </xf>
    <xf numFmtId="4" fontId="19" fillId="0" borderId="0" xfId="3" applyNumberFormat="1" applyFont="1"/>
    <xf numFmtId="4" fontId="20" fillId="0" borderId="0" xfId="3" applyNumberFormat="1" applyFont="1"/>
    <xf numFmtId="0" fontId="23" fillId="0" borderId="0" xfId="3" applyFont="1"/>
    <xf numFmtId="0" fontId="24" fillId="0" borderId="7" xfId="4" applyFont="1" applyFill="1" applyBorder="1" applyAlignment="1">
      <alignment horizontal="center" vertical="center" wrapText="1"/>
    </xf>
    <xf numFmtId="0" fontId="24" fillId="0" borderId="8" xfId="4" applyFont="1" applyFill="1" applyBorder="1" applyAlignment="1">
      <alignment horizontal="center" vertical="center"/>
    </xf>
    <xf numFmtId="3" fontId="24" fillId="0" borderId="8" xfId="4" applyNumberFormat="1" applyFont="1" applyFill="1" applyBorder="1" applyAlignment="1">
      <alignment horizontal="center" vertical="center" wrapText="1"/>
    </xf>
    <xf numFmtId="3" fontId="24" fillId="3" borderId="8" xfId="4" applyNumberFormat="1" applyFont="1" applyFill="1" applyBorder="1" applyAlignment="1">
      <alignment horizontal="center" vertical="center" wrapText="1"/>
    </xf>
    <xf numFmtId="3" fontId="24" fillId="0" borderId="9" xfId="4" applyNumberFormat="1" applyFont="1" applyFill="1" applyBorder="1" applyAlignment="1">
      <alignment horizontal="center" vertical="center" wrapText="1"/>
    </xf>
    <xf numFmtId="0" fontId="25" fillId="0" borderId="0" xfId="4" applyFont="1" applyFill="1"/>
    <xf numFmtId="0" fontId="26" fillId="0" borderId="0" xfId="4" applyFont="1" applyFill="1"/>
    <xf numFmtId="3" fontId="25" fillId="0" borderId="10" xfId="4" applyNumberFormat="1" applyFont="1" applyFill="1" applyBorder="1" applyAlignment="1">
      <alignment horizontal="center"/>
    </xf>
    <xf numFmtId="3" fontId="25" fillId="0" borderId="11" xfId="4" applyNumberFormat="1" applyFont="1" applyFill="1" applyBorder="1" applyAlignment="1">
      <alignment horizontal="center"/>
    </xf>
    <xf numFmtId="4" fontId="25" fillId="3" borderId="11" xfId="4" applyNumberFormat="1" applyFont="1" applyFill="1" applyBorder="1" applyAlignment="1">
      <alignment horizontal="center"/>
    </xf>
    <xf numFmtId="4" fontId="25" fillId="0" borderId="11" xfId="4" applyNumberFormat="1" applyFont="1" applyFill="1" applyBorder="1" applyAlignment="1">
      <alignment horizontal="center"/>
    </xf>
    <xf numFmtId="4" fontId="25" fillId="0" borderId="12" xfId="4" applyNumberFormat="1" applyFont="1" applyFill="1" applyBorder="1" applyAlignment="1">
      <alignment horizontal="center"/>
    </xf>
    <xf numFmtId="3" fontId="25" fillId="0" borderId="14" xfId="4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26" fillId="0" borderId="0" xfId="4" applyFont="1" applyFill="1" applyAlignment="1">
      <alignment vertical="center"/>
    </xf>
    <xf numFmtId="3" fontId="25" fillId="0" borderId="17" xfId="4" applyNumberFormat="1" applyFont="1" applyFill="1" applyBorder="1" applyAlignment="1">
      <alignment horizontal="center" vertical="center" wrapText="1"/>
    </xf>
    <xf numFmtId="3" fontId="25" fillId="0" borderId="15" xfId="4" applyNumberFormat="1" applyFont="1" applyFill="1" applyBorder="1" applyAlignment="1">
      <alignment horizontal="center"/>
    </xf>
    <xf numFmtId="3" fontId="25" fillId="0" borderId="15" xfId="4" applyNumberFormat="1" applyFont="1" applyFill="1" applyBorder="1" applyAlignment="1">
      <alignment horizontal="center" vertical="center"/>
    </xf>
    <xf numFmtId="4" fontId="25" fillId="3" borderId="15" xfId="4" applyNumberFormat="1" applyFont="1" applyFill="1" applyBorder="1" applyAlignment="1">
      <alignment horizontal="center" vertical="center"/>
    </xf>
    <xf numFmtId="4" fontId="25" fillId="0" borderId="15" xfId="4" applyNumberFormat="1" applyFont="1" applyFill="1" applyBorder="1" applyAlignment="1">
      <alignment horizontal="center" vertical="center"/>
    </xf>
    <xf numFmtId="4" fontId="25" fillId="0" borderId="16" xfId="4" applyNumberFormat="1" applyFont="1" applyFill="1" applyBorder="1" applyAlignment="1">
      <alignment horizontal="center" vertical="center"/>
    </xf>
    <xf numFmtId="3" fontId="24" fillId="0" borderId="18" xfId="4" applyNumberFormat="1" applyFont="1" applyFill="1" applyBorder="1" applyAlignment="1">
      <alignment horizontal="center"/>
    </xf>
    <xf numFmtId="3" fontId="24" fillId="0" borderId="19" xfId="4" applyNumberFormat="1" applyFont="1" applyFill="1" applyBorder="1" applyAlignment="1">
      <alignment horizontal="center"/>
    </xf>
    <xf numFmtId="4" fontId="24" fillId="3" borderId="19" xfId="4" applyNumberFormat="1" applyFont="1" applyFill="1" applyBorder="1" applyAlignment="1">
      <alignment horizontal="center"/>
    </xf>
    <xf numFmtId="4" fontId="24" fillId="0" borderId="19" xfId="4" applyNumberFormat="1" applyFont="1" applyFill="1" applyBorder="1" applyAlignment="1">
      <alignment horizontal="center"/>
    </xf>
    <xf numFmtId="4" fontId="24" fillId="0" borderId="20" xfId="4" applyNumberFormat="1" applyFont="1" applyFill="1" applyBorder="1" applyAlignment="1">
      <alignment horizontal="center"/>
    </xf>
    <xf numFmtId="0" fontId="24" fillId="0" borderId="0" xfId="4" applyFont="1" applyFill="1"/>
    <xf numFmtId="0" fontId="27" fillId="0" borderId="0" xfId="4" applyFont="1" applyFill="1"/>
    <xf numFmtId="0" fontId="28" fillId="0" borderId="0" xfId="3" applyFont="1"/>
    <xf numFmtId="0" fontId="29" fillId="0" borderId="0" xfId="3" applyFont="1"/>
    <xf numFmtId="0" fontId="24" fillId="0" borderId="8" xfId="4" applyFont="1" applyFill="1" applyBorder="1" applyAlignment="1">
      <alignment horizontal="center" vertical="center" wrapText="1"/>
    </xf>
    <xf numFmtId="3" fontId="25" fillId="0" borderId="12" xfId="4" applyNumberFormat="1" applyFont="1" applyFill="1" applyBorder="1" applyAlignment="1">
      <alignment horizontal="center"/>
    </xf>
    <xf numFmtId="3" fontId="25" fillId="0" borderId="13" xfId="4" applyNumberFormat="1" applyFont="1" applyFill="1" applyBorder="1" applyAlignment="1">
      <alignment vertical="center" wrapText="1"/>
    </xf>
    <xf numFmtId="3" fontId="25" fillId="0" borderId="21" xfId="4" applyNumberFormat="1" applyFont="1" applyFill="1" applyBorder="1" applyAlignment="1">
      <alignment horizontal="center" vertical="center"/>
    </xf>
    <xf numFmtId="3" fontId="25" fillId="0" borderId="14" xfId="4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>
      <alignment horizontal="center"/>
    </xf>
    <xf numFmtId="0" fontId="24" fillId="0" borderId="3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 wrapText="1"/>
    </xf>
    <xf numFmtId="2" fontId="25" fillId="0" borderId="22" xfId="4" applyNumberFormat="1" applyFont="1" applyFill="1" applyBorder="1" applyAlignment="1">
      <alignment horizontal="left" vertical="center" wrapText="1"/>
    </xf>
    <xf numFmtId="164" fontId="25" fillId="0" borderId="23" xfId="4" applyNumberFormat="1" applyFont="1" applyFill="1" applyBorder="1" applyAlignment="1">
      <alignment horizontal="center" vertical="center" wrapText="1"/>
    </xf>
    <xf numFmtId="0" fontId="25" fillId="0" borderId="0" xfId="3" applyFont="1" applyFill="1"/>
    <xf numFmtId="0" fontId="30" fillId="0" borderId="0" xfId="3" applyFont="1" applyFill="1"/>
    <xf numFmtId="2" fontId="25" fillId="0" borderId="24" xfId="4" applyNumberFormat="1" applyFont="1" applyFill="1" applyBorder="1" applyAlignment="1">
      <alignment horizontal="left" vertical="center" wrapText="1"/>
    </xf>
    <xf numFmtId="164" fontId="25" fillId="0" borderId="25" xfId="4" applyNumberFormat="1" applyFont="1" applyFill="1" applyBorder="1" applyAlignment="1">
      <alignment horizontal="center" vertical="center" wrapText="1"/>
    </xf>
    <xf numFmtId="0" fontId="20" fillId="0" borderId="0" xfId="3" applyFont="1" applyFill="1"/>
    <xf numFmtId="0" fontId="31" fillId="0" borderId="0" xfId="3" applyFont="1" applyFill="1"/>
    <xf numFmtId="2" fontId="25" fillId="0" borderId="26" xfId="4" applyNumberFormat="1" applyFont="1" applyFill="1" applyBorder="1" applyAlignment="1">
      <alignment horizontal="left" vertical="center" wrapText="1"/>
    </xf>
    <xf numFmtId="164" fontId="25" fillId="0" borderId="27" xfId="4" applyNumberFormat="1" applyFont="1" applyFill="1" applyBorder="1" applyAlignment="1">
      <alignment horizontal="center" vertical="center" wrapText="1"/>
    </xf>
    <xf numFmtId="2" fontId="24" fillId="0" borderId="3" xfId="4" applyNumberFormat="1" applyFont="1" applyFill="1" applyBorder="1" applyAlignment="1">
      <alignment horizontal="left" vertical="center" wrapText="1"/>
    </xf>
    <xf numFmtId="164" fontId="24" fillId="0" borderId="1" xfId="4" applyNumberFormat="1" applyFont="1" applyFill="1" applyBorder="1" applyAlignment="1">
      <alignment horizontal="center" vertical="center" wrapText="1"/>
    </xf>
    <xf numFmtId="0" fontId="21" fillId="0" borderId="0" xfId="3" applyFont="1" applyBorder="1"/>
    <xf numFmtId="0" fontId="21" fillId="0" borderId="28" xfId="3" applyFont="1" applyBorder="1"/>
    <xf numFmtId="2" fontId="12" fillId="4" borderId="1" xfId="1" applyNumberFormat="1" applyFont="1" applyFill="1" applyBorder="1" applyAlignment="1">
      <alignment horizontal="center" vertical="center" wrapText="1"/>
    </xf>
    <xf numFmtId="2" fontId="12" fillId="4" borderId="2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3" fillId="0" borderId="0" xfId="7" applyFont="1"/>
    <xf numFmtId="0" fontId="21" fillId="0" borderId="0" xfId="7" applyFont="1"/>
    <xf numFmtId="0" fontId="34" fillId="0" borderId="0" xfId="7" applyFont="1"/>
    <xf numFmtId="0" fontId="22" fillId="0" borderId="0" xfId="7" applyFont="1"/>
    <xf numFmtId="4" fontId="22" fillId="0" borderId="0" xfId="7" applyNumberFormat="1" applyFont="1" applyFill="1"/>
    <xf numFmtId="0" fontId="22" fillId="0" borderId="0" xfId="7" applyFont="1" applyAlignment="1">
      <alignment horizontal="center"/>
    </xf>
    <xf numFmtId="0" fontId="22" fillId="0" borderId="7" xfId="7" applyFont="1" applyBorder="1"/>
    <xf numFmtId="0" fontId="32" fillId="0" borderId="8" xfId="7" applyFont="1" applyFill="1" applyBorder="1" applyAlignment="1">
      <alignment horizontal="center" vertical="center"/>
    </xf>
    <xf numFmtId="0" fontId="22" fillId="0" borderId="8" xfId="7" applyFont="1" applyBorder="1" applyAlignment="1">
      <alignment horizontal="center" vertical="center"/>
    </xf>
    <xf numFmtId="0" fontId="22" fillId="0" borderId="8" xfId="7" applyFont="1" applyBorder="1" applyAlignment="1">
      <alignment horizontal="center" vertical="center" wrapText="1"/>
    </xf>
    <xf numFmtId="0" fontId="22" fillId="0" borderId="9" xfId="7" applyFont="1" applyBorder="1" applyAlignment="1">
      <alignment horizontal="center" vertical="center" wrapText="1"/>
    </xf>
    <xf numFmtId="0" fontId="22" fillId="0" borderId="10" xfId="7" applyFont="1" applyBorder="1"/>
    <xf numFmtId="0" fontId="32" fillId="0" borderId="11" xfId="7" applyFont="1" applyFill="1" applyBorder="1"/>
    <xf numFmtId="0" fontId="22" fillId="0" borderId="11" xfId="7" applyFont="1" applyBorder="1"/>
    <xf numFmtId="0" fontId="22" fillId="0" borderId="12" xfId="7" applyFont="1" applyBorder="1"/>
    <xf numFmtId="0" fontId="22" fillId="0" borderId="18" xfId="7" applyFont="1" applyBorder="1"/>
    <xf numFmtId="0" fontId="32" fillId="0" borderId="19" xfId="7" applyFont="1" applyFill="1" applyBorder="1"/>
    <xf numFmtId="0" fontId="22" fillId="0" borderId="19" xfId="7" applyFont="1" applyBorder="1"/>
    <xf numFmtId="0" fontId="22" fillId="0" borderId="20" xfId="7" applyFont="1" applyBorder="1"/>
    <xf numFmtId="4" fontId="34" fillId="0" borderId="0" xfId="7" applyNumberFormat="1" applyFont="1"/>
    <xf numFmtId="0" fontId="32" fillId="0" borderId="0" xfId="8" applyFont="1" applyFill="1"/>
    <xf numFmtId="2" fontId="33" fillId="0" borderId="0" xfId="8" applyNumberFormat="1" applyFont="1" applyFill="1"/>
    <xf numFmtId="2" fontId="32" fillId="0" borderId="0" xfId="8" applyNumberFormat="1" applyFont="1" applyFill="1"/>
    <xf numFmtId="0" fontId="32" fillId="0" borderId="31" xfId="8" applyFont="1" applyFill="1" applyBorder="1"/>
    <xf numFmtId="0" fontId="32" fillId="0" borderId="21" xfId="8" applyFont="1" applyFill="1" applyBorder="1"/>
    <xf numFmtId="4" fontId="32" fillId="0" borderId="0" xfId="8" applyNumberFormat="1" applyFont="1" applyFill="1"/>
    <xf numFmtId="0" fontId="32" fillId="0" borderId="0" xfId="8" applyFont="1" applyFill="1" applyAlignment="1">
      <alignment horizontal="right"/>
    </xf>
    <xf numFmtId="0" fontId="32" fillId="0" borderId="20" xfId="8" applyFont="1" applyFill="1" applyBorder="1"/>
    <xf numFmtId="0" fontId="32" fillId="5" borderId="7" xfId="8" applyFont="1" applyFill="1" applyBorder="1"/>
    <xf numFmtId="0" fontId="32" fillId="5" borderId="8" xfId="8" applyFont="1" applyFill="1" applyBorder="1"/>
    <xf numFmtId="4" fontId="32" fillId="5" borderId="9" xfId="8" applyNumberFormat="1" applyFont="1" applyFill="1" applyBorder="1"/>
    <xf numFmtId="9" fontId="33" fillId="0" borderId="0" xfId="8" applyNumberFormat="1" applyFont="1" applyFill="1"/>
    <xf numFmtId="0" fontId="32" fillId="0" borderId="0" xfId="9" applyFont="1"/>
    <xf numFmtId="0" fontId="34" fillId="0" borderId="0" xfId="7" applyFont="1" applyAlignment="1"/>
    <xf numFmtId="0" fontId="22" fillId="0" borderId="0" xfId="7" applyFont="1" applyAlignment="1"/>
    <xf numFmtId="4" fontId="33" fillId="0" borderId="0" xfId="8" applyNumberFormat="1" applyFont="1" applyFill="1"/>
    <xf numFmtId="0" fontId="33" fillId="0" borderId="0" xfId="9" applyFont="1"/>
    <xf numFmtId="0" fontId="32" fillId="0" borderId="0" xfId="9" applyFont="1" applyAlignment="1">
      <alignment horizontal="center"/>
    </xf>
    <xf numFmtId="0" fontId="33" fillId="0" borderId="0" xfId="8" applyFont="1" applyFill="1"/>
    <xf numFmtId="0" fontId="37" fillId="0" borderId="0" xfId="10" applyFont="1"/>
    <xf numFmtId="4" fontId="25" fillId="3" borderId="18" xfId="4" applyNumberFormat="1" applyFont="1" applyFill="1" applyBorder="1" applyAlignment="1">
      <alignment vertical="center"/>
    </xf>
    <xf numFmtId="4" fontId="25" fillId="3" borderId="19" xfId="4" applyNumberFormat="1" applyFont="1" applyFill="1" applyBorder="1" applyAlignment="1">
      <alignment vertical="center"/>
    </xf>
    <xf numFmtId="4" fontId="25" fillId="0" borderId="19" xfId="4" applyNumberFormat="1" applyFont="1" applyFill="1" applyBorder="1" applyAlignment="1">
      <alignment vertical="center"/>
    </xf>
    <xf numFmtId="4" fontId="25" fillId="0" borderId="20" xfId="4" applyNumberFormat="1" applyFont="1" applyFill="1" applyBorder="1" applyAlignment="1">
      <alignment vertical="center"/>
    </xf>
    <xf numFmtId="4" fontId="25" fillId="3" borderId="13" xfId="4" applyNumberFormat="1" applyFont="1" applyFill="1" applyBorder="1" applyAlignment="1">
      <alignment horizontal="center" vertical="center"/>
    </xf>
    <xf numFmtId="4" fontId="25" fillId="3" borderId="14" xfId="4" applyNumberFormat="1" applyFont="1" applyFill="1" applyBorder="1" applyAlignment="1">
      <alignment horizontal="center" vertical="center"/>
    </xf>
    <xf numFmtId="4" fontId="25" fillId="0" borderId="14" xfId="4" applyNumberFormat="1" applyFont="1" applyFill="1" applyBorder="1" applyAlignment="1">
      <alignment horizontal="center" vertical="center"/>
    </xf>
    <xf numFmtId="4" fontId="25" fillId="0" borderId="21" xfId="4" applyNumberFormat="1" applyFont="1" applyFill="1" applyBorder="1" applyAlignment="1">
      <alignment horizontal="center" vertical="center"/>
    </xf>
    <xf numFmtId="2" fontId="14" fillId="4" borderId="2" xfId="1" applyNumberFormat="1" applyFont="1" applyFill="1" applyBorder="1" applyAlignment="1">
      <alignment horizontal="center" vertical="center" wrapText="1"/>
    </xf>
    <xf numFmtId="0" fontId="24" fillId="3" borderId="8" xfId="4" applyFont="1" applyFill="1" applyBorder="1" applyAlignment="1">
      <alignment horizontal="center" vertical="center" wrapText="1"/>
    </xf>
    <xf numFmtId="0" fontId="24" fillId="0" borderId="9" xfId="4" applyFont="1" applyFill="1" applyBorder="1" applyAlignment="1">
      <alignment horizontal="center" vertical="center" wrapText="1"/>
    </xf>
    <xf numFmtId="0" fontId="25" fillId="0" borderId="10" xfId="4" applyFont="1" applyFill="1" applyBorder="1"/>
    <xf numFmtId="2" fontId="25" fillId="3" borderId="11" xfId="4" applyNumberFormat="1" applyFont="1" applyFill="1" applyBorder="1" applyAlignment="1">
      <alignment horizontal="center"/>
    </xf>
    <xf numFmtId="0" fontId="25" fillId="3" borderId="11" xfId="4" applyFont="1" applyFill="1" applyBorder="1" applyAlignment="1">
      <alignment horizontal="center"/>
    </xf>
    <xf numFmtId="2" fontId="25" fillId="0" borderId="11" xfId="4" applyNumberFormat="1" applyFont="1" applyFill="1" applyBorder="1" applyAlignment="1">
      <alignment horizontal="center"/>
    </xf>
    <xf numFmtId="2" fontId="25" fillId="0" borderId="12" xfId="4" applyNumberFormat="1" applyFont="1" applyFill="1" applyBorder="1" applyAlignment="1">
      <alignment horizontal="center"/>
    </xf>
    <xf numFmtId="0" fontId="25" fillId="0" borderId="13" xfId="4" applyFont="1" applyFill="1" applyBorder="1"/>
    <xf numFmtId="2" fontId="25" fillId="3" borderId="14" xfId="4" applyNumberFormat="1" applyFont="1" applyFill="1" applyBorder="1" applyAlignment="1">
      <alignment horizontal="center"/>
    </xf>
    <xf numFmtId="0" fontId="25" fillId="3" borderId="14" xfId="4" applyFont="1" applyFill="1" applyBorder="1" applyAlignment="1">
      <alignment horizontal="center"/>
    </xf>
    <xf numFmtId="2" fontId="25" fillId="0" borderId="14" xfId="4" applyNumberFormat="1" applyFont="1" applyFill="1" applyBorder="1" applyAlignment="1">
      <alignment horizontal="center"/>
    </xf>
    <xf numFmtId="2" fontId="25" fillId="0" borderId="21" xfId="4" applyNumberFormat="1" applyFont="1" applyFill="1" applyBorder="1" applyAlignment="1">
      <alignment horizontal="center"/>
    </xf>
    <xf numFmtId="0" fontId="25" fillId="0" borderId="18" xfId="4" applyFont="1" applyFill="1" applyBorder="1"/>
    <xf numFmtId="3" fontId="25" fillId="0" borderId="19" xfId="4" applyNumberFormat="1" applyFont="1" applyFill="1" applyBorder="1" applyAlignment="1">
      <alignment horizontal="center"/>
    </xf>
    <xf numFmtId="0" fontId="25" fillId="3" borderId="19" xfId="4" applyFont="1" applyFill="1" applyBorder="1"/>
    <xf numFmtId="0" fontId="25" fillId="0" borderId="19" xfId="4" applyFont="1" applyFill="1" applyBorder="1"/>
    <xf numFmtId="0" fontId="25" fillId="0" borderId="20" xfId="4" applyFont="1" applyFill="1" applyBorder="1"/>
    <xf numFmtId="0" fontId="20" fillId="0" borderId="0" xfId="0" applyFont="1"/>
    <xf numFmtId="0" fontId="20" fillId="0" borderId="0" xfId="0" applyFont="1" applyAlignment="1">
      <alignment horizontal="left"/>
    </xf>
    <xf numFmtId="4" fontId="20" fillId="0" borderId="0" xfId="0" applyNumberFormat="1" applyFont="1"/>
    <xf numFmtId="0" fontId="21" fillId="0" borderId="29" xfId="0" applyFont="1" applyBorder="1"/>
    <xf numFmtId="0" fontId="24" fillId="0" borderId="30" xfId="4" applyFont="1" applyFill="1" applyBorder="1" applyAlignment="1">
      <alignment horizontal="center" vertical="center" wrapText="1"/>
    </xf>
    <xf numFmtId="3" fontId="24" fillId="0" borderId="31" xfId="4" applyNumberFormat="1" applyFont="1" applyFill="1" applyBorder="1" applyAlignment="1">
      <alignment horizontal="center" vertical="center" wrapText="1"/>
    </xf>
    <xf numFmtId="0" fontId="21" fillId="0" borderId="13" xfId="0" applyFont="1" applyBorder="1"/>
    <xf numFmtId="4" fontId="21" fillId="0" borderId="14" xfId="0" applyNumberFormat="1" applyFont="1" applyBorder="1"/>
    <xf numFmtId="4" fontId="21" fillId="0" borderId="21" xfId="0" applyNumberFormat="1" applyFont="1" applyBorder="1"/>
    <xf numFmtId="0" fontId="21" fillId="0" borderId="18" xfId="0" applyFont="1" applyBorder="1"/>
    <xf numFmtId="4" fontId="21" fillId="0" borderId="19" xfId="0" applyNumberFormat="1" applyFont="1" applyBorder="1"/>
    <xf numFmtId="4" fontId="21" fillId="0" borderId="20" xfId="0" applyNumberFormat="1" applyFont="1" applyBorder="1"/>
    <xf numFmtId="0" fontId="4" fillId="0" borderId="0" xfId="1" applyFont="1" applyBorder="1" applyAlignment="1">
      <alignment horizontal="center"/>
    </xf>
    <xf numFmtId="4" fontId="25" fillId="0" borderId="15" xfId="4" applyNumberFormat="1" applyFont="1" applyFill="1" applyBorder="1" applyAlignment="1">
      <alignment horizontal="center" vertical="center"/>
    </xf>
    <xf numFmtId="4" fontId="25" fillId="0" borderId="11" xfId="4" applyNumberFormat="1" applyFont="1" applyFill="1" applyBorder="1" applyAlignment="1">
      <alignment horizontal="center" vertical="center"/>
    </xf>
    <xf numFmtId="4" fontId="25" fillId="0" borderId="16" xfId="4" applyNumberFormat="1" applyFont="1" applyFill="1" applyBorder="1" applyAlignment="1">
      <alignment horizontal="center" vertical="center"/>
    </xf>
    <xf numFmtId="4" fontId="25" fillId="0" borderId="12" xfId="4" applyNumberFormat="1" applyFont="1" applyFill="1" applyBorder="1" applyAlignment="1">
      <alignment horizontal="center" vertical="center"/>
    </xf>
    <xf numFmtId="3" fontId="25" fillId="0" borderId="15" xfId="4" applyNumberFormat="1" applyFont="1" applyFill="1" applyBorder="1" applyAlignment="1">
      <alignment horizontal="center" vertical="center"/>
    </xf>
    <xf numFmtId="3" fontId="25" fillId="0" borderId="11" xfId="4" applyNumberFormat="1" applyFont="1" applyFill="1" applyBorder="1" applyAlignment="1">
      <alignment horizontal="center" vertical="center"/>
    </xf>
    <xf numFmtId="4" fontId="25" fillId="3" borderId="15" xfId="4" applyNumberFormat="1" applyFont="1" applyFill="1" applyBorder="1" applyAlignment="1">
      <alignment horizontal="center" vertical="center"/>
    </xf>
    <xf numFmtId="4" fontId="25" fillId="3" borderId="11" xfId="4" applyNumberFormat="1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3" fontId="25" fillId="0" borderId="33" xfId="4" applyNumberFormat="1" applyFont="1" applyFill="1" applyBorder="1" applyAlignment="1">
      <alignment horizontal="center" vertical="center" wrapText="1"/>
    </xf>
    <xf numFmtId="3" fontId="25" fillId="0" borderId="32" xfId="4" applyNumberFormat="1" applyFont="1" applyFill="1" applyBorder="1" applyAlignment="1">
      <alignment horizontal="center" vertical="center" wrapText="1"/>
    </xf>
    <xf numFmtId="0" fontId="32" fillId="0" borderId="13" xfId="8" applyFont="1" applyFill="1" applyBorder="1" applyAlignment="1">
      <alignment horizontal="left" wrapText="1"/>
    </xf>
    <xf numFmtId="0" fontId="32" fillId="0" borderId="14" xfId="8" applyFont="1" applyFill="1" applyBorder="1" applyAlignment="1">
      <alignment horizontal="left" wrapText="1"/>
    </xf>
    <xf numFmtId="0" fontId="32" fillId="0" borderId="18" xfId="8" applyFont="1" applyFill="1" applyBorder="1" applyAlignment="1">
      <alignment horizontal="left" wrapText="1"/>
    </xf>
    <xf numFmtId="0" fontId="32" fillId="0" borderId="19" xfId="8" applyFont="1" applyFill="1" applyBorder="1" applyAlignment="1">
      <alignment horizontal="left" wrapText="1"/>
    </xf>
    <xf numFmtId="0" fontId="32" fillId="0" borderId="29" xfId="8" applyFont="1" applyFill="1" applyBorder="1" applyAlignment="1">
      <alignment horizontal="left" wrapText="1"/>
    </xf>
    <xf numFmtId="0" fontId="32" fillId="0" borderId="30" xfId="8" applyFont="1" applyFill="1" applyBorder="1" applyAlignment="1">
      <alignment horizontal="left" wrapText="1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</cellXfs>
  <cellStyles count="13">
    <cellStyle name="Обычный" xfId="0" builtinId="0"/>
    <cellStyle name="Обычный 11 2" xfId="7"/>
    <cellStyle name="Обычный 11 7" xfId="3"/>
    <cellStyle name="Обычный 2 2" xfId="5"/>
    <cellStyle name="Обычный 2 2 3 2" xfId="10"/>
    <cellStyle name="Обычный 3" xfId="2"/>
    <cellStyle name="Обычный 3 3" xfId="9"/>
    <cellStyle name="Обычный 83" xfId="12"/>
    <cellStyle name="Обычный 84" xfId="11"/>
    <cellStyle name="Обычный 90" xfId="6"/>
    <cellStyle name="Обычный_5_А_2007_ЮЖНОЕ_N_ДР_АКТЫ" xfId="8"/>
    <cellStyle name="Обычный_бюджет 2008 (11.02.08) на утверждение 2" xfId="4"/>
    <cellStyle name="Обычный_тарифы город=фак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60" zoomScaleNormal="60" zoomScaleSheetLayoutView="80" workbookViewId="0">
      <selection activeCell="B4" sqref="B4:G5"/>
    </sheetView>
  </sheetViews>
  <sheetFormatPr defaultRowHeight="15"/>
  <cols>
    <col min="1" max="1" width="6.42578125" customWidth="1"/>
    <col min="2" max="2" width="81" customWidth="1"/>
    <col min="3" max="3" width="15.85546875" customWidth="1"/>
    <col min="4" max="7" width="20.85546875" customWidth="1"/>
  </cols>
  <sheetData>
    <row r="1" spans="1:7" ht="21">
      <c r="A1" s="1"/>
      <c r="B1" s="3"/>
      <c r="C1" s="1"/>
      <c r="D1" s="2"/>
      <c r="E1" s="2"/>
      <c r="F1" s="2"/>
      <c r="G1" s="2"/>
    </row>
    <row r="2" spans="1:7" ht="18.75">
      <c r="A2" s="4"/>
      <c r="B2" s="167" t="s">
        <v>26</v>
      </c>
      <c r="C2" s="167"/>
      <c r="D2" s="167"/>
      <c r="E2" s="167"/>
      <c r="F2" s="167"/>
      <c r="G2" s="167"/>
    </row>
    <row r="3" spans="1:7" ht="18.75">
      <c r="A3" s="4"/>
      <c r="B3" s="167" t="s">
        <v>25</v>
      </c>
      <c r="C3" s="167"/>
      <c r="D3" s="167"/>
      <c r="E3" s="167"/>
      <c r="F3" s="167"/>
      <c r="G3" s="167"/>
    </row>
    <row r="4" spans="1:7" ht="20.25">
      <c r="A4" s="4"/>
      <c r="B4" s="189" t="s">
        <v>24</v>
      </c>
      <c r="C4" s="189"/>
      <c r="D4" s="189"/>
      <c r="E4" s="189"/>
      <c r="F4" s="189"/>
      <c r="G4" s="189"/>
    </row>
    <row r="5" spans="1:7" ht="21" customHeight="1">
      <c r="A5" s="4"/>
      <c r="B5" s="190" t="s">
        <v>112</v>
      </c>
      <c r="C5" s="190"/>
      <c r="D5" s="190"/>
      <c r="E5" s="190"/>
      <c r="F5" s="190"/>
      <c r="G5" s="190"/>
    </row>
    <row r="6" spans="1:7" ht="18.75">
      <c r="A6" s="4"/>
      <c r="B6" s="167" t="s">
        <v>93</v>
      </c>
      <c r="C6" s="167"/>
      <c r="D6" s="167"/>
      <c r="E6" s="167"/>
      <c r="F6" s="167"/>
      <c r="G6" s="167"/>
    </row>
    <row r="7" spans="1:7">
      <c r="A7" s="1" t="s">
        <v>0</v>
      </c>
      <c r="B7" s="6"/>
      <c r="C7" s="5"/>
      <c r="D7" s="7"/>
      <c r="E7" s="7"/>
      <c r="F7" s="7"/>
      <c r="G7" s="7"/>
    </row>
    <row r="8" spans="1:7" ht="45">
      <c r="A8" s="8"/>
      <c r="B8" s="9" t="s">
        <v>1</v>
      </c>
      <c r="C8" s="9" t="s">
        <v>2</v>
      </c>
      <c r="D8" s="10" t="s">
        <v>20</v>
      </c>
      <c r="E8" s="10" t="s">
        <v>21</v>
      </c>
      <c r="F8" s="10" t="s">
        <v>22</v>
      </c>
      <c r="G8" s="10" t="s">
        <v>23</v>
      </c>
    </row>
    <row r="9" spans="1:7" ht="42" customHeight="1">
      <c r="A9" s="11" t="s">
        <v>3</v>
      </c>
      <c r="B9" s="12" t="s">
        <v>4</v>
      </c>
      <c r="C9" s="11"/>
      <c r="D9" s="13">
        <f>SUM(D10:D23)</f>
        <v>32.939999999999991</v>
      </c>
      <c r="E9" s="13">
        <f>SUM(E10:E23)-0.01</f>
        <v>41.257919989796058</v>
      </c>
      <c r="F9" s="13">
        <f>E9-D9</f>
        <v>8.3179199897960672</v>
      </c>
      <c r="G9" s="13">
        <f>E9/D9*100-100</f>
        <v>25.251730387966219</v>
      </c>
    </row>
    <row r="10" spans="1:7" ht="38.450000000000003" customHeight="1">
      <c r="A10" s="14"/>
      <c r="B10" s="15" t="s">
        <v>5</v>
      </c>
      <c r="C10" s="16" t="s">
        <v>6</v>
      </c>
      <c r="D10" s="86">
        <v>5.63</v>
      </c>
      <c r="E10" s="86">
        <f>Разъяснения!Q11</f>
        <v>5.9647942037979078</v>
      </c>
      <c r="F10" s="86">
        <f t="shared" ref="F10:F23" si="0">E10-D10</f>
        <v>0.33479420379790792</v>
      </c>
      <c r="G10" s="86">
        <f t="shared" ref="G10:G23" si="1">E10/D10*100-100</f>
        <v>5.9466110798917811</v>
      </c>
    </row>
    <row r="11" spans="1:7" ht="38.450000000000003" customHeight="1">
      <c r="A11" s="18"/>
      <c r="B11" s="15" t="s">
        <v>7</v>
      </c>
      <c r="C11" s="16" t="s">
        <v>6</v>
      </c>
      <c r="D11" s="87">
        <v>3.25</v>
      </c>
      <c r="E11" s="87">
        <v>4</v>
      </c>
      <c r="F11" s="87">
        <f t="shared" si="0"/>
        <v>0.75</v>
      </c>
      <c r="G11" s="87">
        <f t="shared" si="1"/>
        <v>23.07692307692308</v>
      </c>
    </row>
    <row r="12" spans="1:7" ht="38.450000000000003" customHeight="1">
      <c r="A12" s="19"/>
      <c r="B12" s="15" t="s">
        <v>8</v>
      </c>
      <c r="C12" s="16" t="s">
        <v>6</v>
      </c>
      <c r="D12" s="137">
        <v>3.88</v>
      </c>
      <c r="E12" s="137">
        <f>Разъяснения!H19</f>
        <v>4.9969326779181911</v>
      </c>
      <c r="F12" s="137">
        <f t="shared" si="0"/>
        <v>1.1169326779181912</v>
      </c>
      <c r="G12" s="137">
        <f t="shared" si="1"/>
        <v>28.786924688613169</v>
      </c>
    </row>
    <row r="13" spans="1:7" ht="38.450000000000003" customHeight="1">
      <c r="A13" s="19"/>
      <c r="B13" s="15" t="s">
        <v>9</v>
      </c>
      <c r="C13" s="16" t="s">
        <v>6</v>
      </c>
      <c r="D13" s="87">
        <v>3.28</v>
      </c>
      <c r="E13" s="87">
        <f>Разъяснения!H21</f>
        <v>4.2872066740106423</v>
      </c>
      <c r="F13" s="87">
        <f t="shared" si="0"/>
        <v>1.0072066740106425</v>
      </c>
      <c r="G13" s="87">
        <f t="shared" si="1"/>
        <v>30.707520549104942</v>
      </c>
    </row>
    <row r="14" spans="1:7" ht="38.450000000000003" customHeight="1">
      <c r="A14" s="19"/>
      <c r="B14" s="20" t="s">
        <v>10</v>
      </c>
      <c r="C14" s="21" t="s">
        <v>6</v>
      </c>
      <c r="D14" s="17">
        <v>0.34</v>
      </c>
      <c r="E14" s="17">
        <v>0.34</v>
      </c>
      <c r="F14" s="17">
        <f t="shared" si="0"/>
        <v>0</v>
      </c>
      <c r="G14" s="17">
        <f t="shared" si="1"/>
        <v>0</v>
      </c>
    </row>
    <row r="15" spans="1:7" ht="38.450000000000003" customHeight="1">
      <c r="A15" s="19"/>
      <c r="B15" s="20" t="s">
        <v>11</v>
      </c>
      <c r="C15" s="21" t="s">
        <v>6</v>
      </c>
      <c r="D15" s="17">
        <v>0.34</v>
      </c>
      <c r="E15" s="17">
        <v>0.34</v>
      </c>
      <c r="F15" s="17">
        <f t="shared" si="0"/>
        <v>0</v>
      </c>
      <c r="G15" s="17">
        <f t="shared" si="1"/>
        <v>0</v>
      </c>
    </row>
    <row r="16" spans="1:7" ht="38.450000000000003" customHeight="1">
      <c r="A16" s="19"/>
      <c r="B16" s="20" t="s">
        <v>12</v>
      </c>
      <c r="C16" s="21" t="s">
        <v>6</v>
      </c>
      <c r="D16" s="17">
        <v>0.4</v>
      </c>
      <c r="E16" s="17">
        <v>0.4</v>
      </c>
      <c r="F16" s="17">
        <f t="shared" si="0"/>
        <v>0</v>
      </c>
      <c r="G16" s="17">
        <f t="shared" si="1"/>
        <v>0</v>
      </c>
    </row>
    <row r="17" spans="1:7" ht="38.450000000000003" customHeight="1">
      <c r="A17" s="19"/>
      <c r="B17" s="15" t="s">
        <v>13</v>
      </c>
      <c r="C17" s="16" t="s">
        <v>6</v>
      </c>
      <c r="D17" s="17">
        <v>7.0000000000000007E-2</v>
      </c>
      <c r="E17" s="17">
        <v>7.0000000000000007E-2</v>
      </c>
      <c r="F17" s="17">
        <f t="shared" si="0"/>
        <v>0</v>
      </c>
      <c r="G17" s="17">
        <f t="shared" si="1"/>
        <v>0</v>
      </c>
    </row>
    <row r="18" spans="1:7" ht="38.450000000000003" customHeight="1">
      <c r="A18" s="19"/>
      <c r="B18" s="15" t="s">
        <v>14</v>
      </c>
      <c r="C18" s="16" t="s">
        <v>6</v>
      </c>
      <c r="D18" s="17">
        <v>0.54</v>
      </c>
      <c r="E18" s="17">
        <v>0.54</v>
      </c>
      <c r="F18" s="17">
        <f t="shared" si="0"/>
        <v>0</v>
      </c>
      <c r="G18" s="17">
        <f t="shared" si="1"/>
        <v>0</v>
      </c>
    </row>
    <row r="19" spans="1:7" ht="38.450000000000003" customHeight="1">
      <c r="A19" s="19"/>
      <c r="B19" s="15" t="s">
        <v>15</v>
      </c>
      <c r="C19" s="16" t="s">
        <v>6</v>
      </c>
      <c r="D19" s="17">
        <v>0.06</v>
      </c>
      <c r="E19" s="17">
        <v>0.06</v>
      </c>
      <c r="F19" s="17">
        <f t="shared" si="0"/>
        <v>0</v>
      </c>
      <c r="G19" s="17">
        <f t="shared" si="1"/>
        <v>0</v>
      </c>
    </row>
    <row r="20" spans="1:7" ht="38.450000000000003" customHeight="1">
      <c r="A20" s="19"/>
      <c r="B20" s="20" t="s">
        <v>16</v>
      </c>
      <c r="C20" s="21" t="s">
        <v>6</v>
      </c>
      <c r="D20" s="86">
        <v>2.5299999999999998</v>
      </c>
      <c r="E20" s="86">
        <f>Лифты_формула!E33</f>
        <v>4.8343864931664546</v>
      </c>
      <c r="F20" s="86">
        <f t="shared" si="0"/>
        <v>2.3043864931664548</v>
      </c>
      <c r="G20" s="86">
        <f t="shared" si="1"/>
        <v>91.082470085630632</v>
      </c>
    </row>
    <row r="21" spans="1:7" ht="38.450000000000003" customHeight="1">
      <c r="A21" s="19"/>
      <c r="B21" s="22" t="s">
        <v>19</v>
      </c>
      <c r="C21" s="21" t="s">
        <v>6</v>
      </c>
      <c r="D21" s="86">
        <v>5.6</v>
      </c>
      <c r="E21" s="86">
        <v>6.6</v>
      </c>
      <c r="F21" s="86">
        <f t="shared" si="0"/>
        <v>1</v>
      </c>
      <c r="G21" s="86">
        <f t="shared" si="1"/>
        <v>17.857142857142861</v>
      </c>
    </row>
    <row r="22" spans="1:7" ht="38.450000000000003" customHeight="1">
      <c r="A22" s="19"/>
      <c r="B22" s="15" t="s">
        <v>17</v>
      </c>
      <c r="C22" s="16" t="s">
        <v>6</v>
      </c>
      <c r="D22" s="87">
        <v>2.08</v>
      </c>
      <c r="E22" s="87">
        <f>Разъяснения!Q14</f>
        <v>3.0406266704626059</v>
      </c>
      <c r="F22" s="87">
        <f t="shared" si="0"/>
        <v>0.96062667046260586</v>
      </c>
      <c r="G22" s="87">
        <f t="shared" si="1"/>
        <v>46.183974541471429</v>
      </c>
    </row>
    <row r="23" spans="1:7" ht="38.450000000000003" customHeight="1">
      <c r="A23" s="19"/>
      <c r="B23" s="23" t="s">
        <v>18</v>
      </c>
      <c r="C23" s="21" t="s">
        <v>6</v>
      </c>
      <c r="D23" s="86">
        <v>4.9400000000000004</v>
      </c>
      <c r="E23" s="86">
        <f>Охрана!J18</f>
        <v>5.7939732704402518</v>
      </c>
      <c r="F23" s="86">
        <f t="shared" si="0"/>
        <v>0.8539732704402514</v>
      </c>
      <c r="G23" s="86">
        <f t="shared" si="1"/>
        <v>17.286908308507122</v>
      </c>
    </row>
  </sheetData>
  <mergeCells count="5">
    <mergeCell ref="B2:G2"/>
    <mergeCell ref="B4:G4"/>
    <mergeCell ref="B6:G6"/>
    <mergeCell ref="B5:G5"/>
    <mergeCell ref="B3:G3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2"/>
  <sheetViews>
    <sheetView topLeftCell="A10" workbookViewId="0">
      <selection activeCell="J28" sqref="J28"/>
    </sheetView>
  </sheetViews>
  <sheetFormatPr defaultColWidth="8.85546875" defaultRowHeight="15"/>
  <cols>
    <col min="1" max="1" width="25.5703125" style="26" customWidth="1"/>
    <col min="2" max="2" width="28.140625" style="26" customWidth="1"/>
    <col min="3" max="3" width="12.5703125" style="26" customWidth="1"/>
    <col min="4" max="4" width="15.85546875" style="26" customWidth="1"/>
    <col min="5" max="5" width="15.42578125" style="26" customWidth="1"/>
    <col min="6" max="11" width="13.42578125" style="26" customWidth="1"/>
    <col min="12" max="14" width="12" style="26" customWidth="1"/>
    <col min="15" max="15" width="12.5703125" style="26" customWidth="1"/>
    <col min="16" max="16" width="12" style="26" customWidth="1"/>
    <col min="17" max="17" width="12.5703125" style="26" customWidth="1"/>
    <col min="18" max="18" width="12" style="26" customWidth="1"/>
    <col min="19" max="20" width="11.85546875" style="26" customWidth="1"/>
    <col min="21" max="27" width="8.85546875" style="26"/>
    <col min="28" max="16384" width="8.85546875" style="27"/>
  </cols>
  <sheetData>
    <row r="2" spans="1:27">
      <c r="A2" s="24" t="s">
        <v>27</v>
      </c>
      <c r="B2" s="25"/>
      <c r="D2" s="28" t="s">
        <v>96</v>
      </c>
      <c r="E2" s="28"/>
    </row>
    <row r="3" spans="1:27" s="28" customFormat="1" ht="12">
      <c r="A3" s="28" t="s">
        <v>28</v>
      </c>
      <c r="B3" s="29">
        <v>19244.8</v>
      </c>
      <c r="D3" s="29">
        <f>60368.2+19244.8+10616.9</f>
        <v>90229.9</v>
      </c>
    </row>
    <row r="4" spans="1:27" s="28" customFormat="1" ht="12">
      <c r="A4" s="28" t="s">
        <v>29</v>
      </c>
      <c r="B4" s="29">
        <v>0</v>
      </c>
      <c r="D4" s="29">
        <v>2355.1</v>
      </c>
    </row>
    <row r="5" spans="1:27" s="28" customFormat="1" ht="12">
      <c r="A5" s="28" t="s">
        <v>30</v>
      </c>
      <c r="B5" s="29">
        <v>0</v>
      </c>
      <c r="D5" s="29">
        <v>9394.7999999999993</v>
      </c>
    </row>
    <row r="6" spans="1:27" s="28" customFormat="1" ht="12">
      <c r="B6" s="30">
        <f>SUM(B3:B5)</f>
        <v>19244.8</v>
      </c>
      <c r="D6" s="30">
        <f>SUM(D3:D5)</f>
        <v>101979.8</v>
      </c>
    </row>
    <row r="7" spans="1:27" s="28" customFormat="1" ht="12">
      <c r="D7" s="31"/>
      <c r="E7" s="32"/>
    </row>
    <row r="8" spans="1:27">
      <c r="A8" s="33"/>
    </row>
    <row r="9" spans="1:27" s="40" customFormat="1" ht="39" customHeight="1">
      <c r="A9" s="34" t="s">
        <v>31</v>
      </c>
      <c r="B9" s="35" t="s">
        <v>32</v>
      </c>
      <c r="C9" s="35" t="s">
        <v>33</v>
      </c>
      <c r="D9" s="36" t="s">
        <v>34</v>
      </c>
      <c r="E9" s="36" t="s">
        <v>35</v>
      </c>
      <c r="F9" s="36" t="s">
        <v>36</v>
      </c>
      <c r="G9" s="36" t="s">
        <v>37</v>
      </c>
      <c r="H9" s="36" t="s">
        <v>38</v>
      </c>
      <c r="I9" s="36" t="s">
        <v>39</v>
      </c>
      <c r="J9" s="36" t="s">
        <v>40</v>
      </c>
      <c r="K9" s="36" t="s">
        <v>41</v>
      </c>
      <c r="L9" s="36" t="s">
        <v>42</v>
      </c>
      <c r="M9" s="36" t="s">
        <v>43</v>
      </c>
      <c r="N9" s="36" t="s">
        <v>44</v>
      </c>
      <c r="O9" s="36" t="s">
        <v>45</v>
      </c>
      <c r="P9" s="36" t="s">
        <v>46</v>
      </c>
      <c r="Q9" s="37" t="s">
        <v>47</v>
      </c>
      <c r="R9" s="37" t="s">
        <v>48</v>
      </c>
      <c r="S9" s="36" t="s">
        <v>22</v>
      </c>
      <c r="T9" s="38" t="s">
        <v>23</v>
      </c>
      <c r="U9" s="39"/>
      <c r="V9" s="39"/>
      <c r="W9" s="39"/>
      <c r="X9" s="39"/>
      <c r="Y9" s="39"/>
      <c r="Z9" s="39"/>
      <c r="AA9" s="39"/>
    </row>
    <row r="10" spans="1:27" s="40" customFormat="1" ht="1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3"/>
      <c r="S10" s="44"/>
      <c r="T10" s="45"/>
      <c r="U10" s="39"/>
      <c r="V10" s="39"/>
      <c r="W10" s="39"/>
      <c r="X10" s="39"/>
      <c r="Y10" s="39"/>
      <c r="Z10" s="39"/>
      <c r="AA10" s="39"/>
    </row>
    <row r="11" spans="1:27" s="48" customFormat="1" ht="12" customHeight="1">
      <c r="A11" s="181" t="s">
        <v>49</v>
      </c>
      <c r="B11" s="46" t="s">
        <v>50</v>
      </c>
      <c r="C11" s="46">
        <v>1</v>
      </c>
      <c r="D11" s="46">
        <v>3000</v>
      </c>
      <c r="E11" s="46">
        <f t="shared" ref="E11" si="0">C11*D11</f>
        <v>3000</v>
      </c>
      <c r="F11" s="46"/>
      <c r="G11" s="46"/>
      <c r="H11" s="46">
        <f>E11+F11+G11</f>
        <v>3000</v>
      </c>
      <c r="I11" s="46">
        <f>13890*30.2%+(H11-13890)*15%</f>
        <v>2561.2799999999997</v>
      </c>
      <c r="J11" s="172">
        <f>89596*1.1/12</f>
        <v>8212.9666666666672</v>
      </c>
      <c r="K11" s="46"/>
      <c r="L11" s="46"/>
      <c r="M11" s="172">
        <f>C33</f>
        <v>21613.125000000004</v>
      </c>
      <c r="N11" s="172">
        <f>H11+H12+I11+I12+J11+K11+K12+L11+L12+M11</f>
        <v>103373.65166666666</v>
      </c>
      <c r="O11" s="172">
        <f>N11*95%*1%</f>
        <v>982.04969083333322</v>
      </c>
      <c r="P11" s="172">
        <f>(N11+O11)*10%</f>
        <v>10435.57013575</v>
      </c>
      <c r="Q11" s="174">
        <f>(N11+O11+P11)/B6</f>
        <v>5.9647942037979078</v>
      </c>
      <c r="R11" s="174">
        <v>5.63</v>
      </c>
      <c r="S11" s="168">
        <f>Q11-R11</f>
        <v>0.33479420379790792</v>
      </c>
      <c r="T11" s="170">
        <f>Q11/R11*100-100</f>
        <v>5.9466110798917811</v>
      </c>
      <c r="U11" s="47"/>
      <c r="V11" s="47"/>
      <c r="W11" s="47"/>
      <c r="X11" s="47"/>
      <c r="Y11" s="47"/>
      <c r="Z11" s="47"/>
      <c r="AA11" s="47"/>
    </row>
    <row r="12" spans="1:27" s="48" customFormat="1" ht="14.45" customHeight="1">
      <c r="A12" s="182"/>
      <c r="B12" s="46" t="s">
        <v>51</v>
      </c>
      <c r="C12" s="46">
        <v>1</v>
      </c>
      <c r="D12" s="46">
        <v>51800</v>
      </c>
      <c r="E12" s="46">
        <f>C12*D12</f>
        <v>51800</v>
      </c>
      <c r="F12" s="46"/>
      <c r="G12" s="46">
        <f>E12/12</f>
        <v>4316.666666666667</v>
      </c>
      <c r="H12" s="46">
        <f>E12+F12+G12</f>
        <v>56116.666666666664</v>
      </c>
      <c r="I12" s="46">
        <f>C12*13890*30.2%+(H12-13890*C12)*15%</f>
        <v>10528.779999999999</v>
      </c>
      <c r="J12" s="173"/>
      <c r="K12" s="46">
        <f>C12*(6360/12+8060/24)</f>
        <v>865.83333333333326</v>
      </c>
      <c r="L12" s="46">
        <f>C12*5700/12</f>
        <v>475</v>
      </c>
      <c r="M12" s="173"/>
      <c r="N12" s="173"/>
      <c r="O12" s="173"/>
      <c r="P12" s="173"/>
      <c r="Q12" s="175"/>
      <c r="R12" s="175"/>
      <c r="S12" s="169"/>
      <c r="T12" s="171"/>
      <c r="U12" s="47"/>
      <c r="V12" s="47"/>
      <c r="W12" s="47"/>
      <c r="X12" s="47"/>
      <c r="Y12" s="47"/>
      <c r="Z12" s="47"/>
      <c r="AA12" s="47"/>
    </row>
    <row r="13" spans="1:27" s="40" customFormat="1" ht="14.45" customHeight="1">
      <c r="A13" s="49"/>
      <c r="B13" s="50"/>
      <c r="C13" s="50"/>
      <c r="D13" s="50"/>
      <c r="E13" s="50"/>
      <c r="F13" s="50"/>
      <c r="G13" s="50"/>
      <c r="H13" s="50"/>
      <c r="I13" s="50"/>
      <c r="J13" s="51"/>
      <c r="K13" s="50"/>
      <c r="L13" s="50"/>
      <c r="M13" s="51"/>
      <c r="N13" s="51"/>
      <c r="O13" s="51"/>
      <c r="P13" s="51"/>
      <c r="Q13" s="52"/>
      <c r="R13" s="52"/>
      <c r="S13" s="53"/>
      <c r="T13" s="54"/>
      <c r="U13" s="39"/>
      <c r="V13" s="39"/>
      <c r="W13" s="39"/>
      <c r="X13" s="39"/>
      <c r="Y13" s="39"/>
      <c r="Z13" s="39"/>
      <c r="AA13" s="39"/>
    </row>
    <row r="14" spans="1:27" s="48" customFormat="1" ht="14.45" customHeight="1">
      <c r="A14" s="49" t="s">
        <v>52</v>
      </c>
      <c r="B14" s="51" t="s">
        <v>53</v>
      </c>
      <c r="C14" s="51">
        <v>1</v>
      </c>
      <c r="D14" s="51">
        <v>34500</v>
      </c>
      <c r="E14" s="51">
        <f>C14*D14</f>
        <v>34500</v>
      </c>
      <c r="F14" s="51">
        <f>15093.75/12</f>
        <v>1257.8125</v>
      </c>
      <c r="G14" s="51">
        <f>E14/12</f>
        <v>2875</v>
      </c>
      <c r="H14" s="51">
        <f>E14+F14+G14</f>
        <v>38632.8125</v>
      </c>
      <c r="I14" s="46">
        <f>13890*C14*30.2%+(H14-(13890*C14))*15%</f>
        <v>7906.2018749999997</v>
      </c>
      <c r="J14" s="51">
        <f>55076*1.1/12</f>
        <v>5048.6333333333341</v>
      </c>
      <c r="K14" s="51">
        <f>C14*(2500/12+3700/24)</f>
        <v>362.5</v>
      </c>
      <c r="L14" s="51">
        <f>C14*2950/12</f>
        <v>245.83333333333334</v>
      </c>
      <c r="M14" s="51">
        <f>C37</f>
        <v>500</v>
      </c>
      <c r="N14" s="51">
        <f>H14+I14+J14+K14+L14+M14</f>
        <v>52695.981041666666</v>
      </c>
      <c r="O14" s="51">
        <f>N14*95%*1%</f>
        <v>500.61181989583332</v>
      </c>
      <c r="P14" s="51">
        <f>(N14+O14)*10%</f>
        <v>5319.6592861562503</v>
      </c>
      <c r="Q14" s="52">
        <f>(N14+O14+P14)/B6</f>
        <v>3.0406266704626059</v>
      </c>
      <c r="R14" s="52">
        <v>2.08</v>
      </c>
      <c r="S14" s="53">
        <f>Q14-R14</f>
        <v>0.96062667046260586</v>
      </c>
      <c r="T14" s="54">
        <f>Q14/R14*100-100</f>
        <v>46.183974541471429</v>
      </c>
      <c r="U14" s="47"/>
      <c r="V14" s="47"/>
      <c r="W14" s="47"/>
      <c r="X14" s="47"/>
      <c r="Y14" s="47"/>
      <c r="Z14" s="47"/>
      <c r="AA14" s="47"/>
    </row>
    <row r="15" spans="1:27" s="61" customFormat="1" ht="12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57"/>
      <c r="S15" s="58"/>
      <c r="T15" s="59"/>
      <c r="U15" s="60"/>
      <c r="V15" s="60"/>
      <c r="W15" s="60"/>
      <c r="X15" s="60"/>
      <c r="Y15" s="60"/>
      <c r="Z15" s="60"/>
      <c r="AA15" s="60"/>
    </row>
    <row r="16" spans="1:27" s="63" customForma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27" s="40" customFormat="1" ht="81.599999999999994" customHeight="1">
      <c r="A17" s="34" t="s">
        <v>31</v>
      </c>
      <c r="B17" s="64" t="s">
        <v>54</v>
      </c>
      <c r="C17" s="36" t="s">
        <v>55</v>
      </c>
      <c r="D17" s="36" t="s">
        <v>56</v>
      </c>
      <c r="E17" s="36" t="s">
        <v>44</v>
      </c>
      <c r="F17" s="36" t="s">
        <v>45</v>
      </c>
      <c r="G17" s="38" t="s">
        <v>46</v>
      </c>
      <c r="H17" s="37" t="s">
        <v>47</v>
      </c>
      <c r="I17" s="37" t="s">
        <v>48</v>
      </c>
      <c r="J17" s="36" t="s">
        <v>22</v>
      </c>
      <c r="K17" s="38" t="s">
        <v>23</v>
      </c>
    </row>
    <row r="18" spans="1:27" s="40" customFormat="1" ht="12">
      <c r="A18" s="41"/>
      <c r="B18" s="42"/>
      <c r="C18" s="42"/>
      <c r="D18" s="42"/>
      <c r="E18" s="42"/>
      <c r="F18" s="42"/>
      <c r="G18" s="65"/>
      <c r="H18" s="43"/>
      <c r="I18" s="43"/>
      <c r="J18" s="44"/>
      <c r="K18" s="45"/>
    </row>
    <row r="19" spans="1:27" s="48" customFormat="1" ht="24">
      <c r="A19" s="66" t="s">
        <v>58</v>
      </c>
      <c r="B19" s="46">
        <v>86600</v>
      </c>
      <c r="C19" s="46"/>
      <c r="D19" s="46"/>
      <c r="E19" s="46">
        <f>B19+C19+D19</f>
        <v>86600</v>
      </c>
      <c r="F19" s="46">
        <f>E19*95%*1%</f>
        <v>822.7</v>
      </c>
      <c r="G19" s="67">
        <f>(E19+F19)*10%</f>
        <v>8742.27</v>
      </c>
      <c r="H19" s="133">
        <f>(E19+F19+G19)/B3</f>
        <v>4.9969326779181911</v>
      </c>
      <c r="I19" s="134">
        <v>3.88</v>
      </c>
      <c r="J19" s="135">
        <f>H19-I19</f>
        <v>1.1169326779181912</v>
      </c>
      <c r="K19" s="136">
        <f>H19/I19*100-100</f>
        <v>28.786924688613169</v>
      </c>
    </row>
    <row r="20" spans="1:27" s="40" customFormat="1" ht="12" customHeight="1">
      <c r="A20" s="66"/>
      <c r="B20" s="68"/>
      <c r="C20" s="68"/>
      <c r="D20" s="68"/>
      <c r="E20" s="46"/>
      <c r="F20" s="46"/>
      <c r="G20" s="67"/>
      <c r="H20" s="133"/>
      <c r="I20" s="134"/>
      <c r="J20" s="135"/>
      <c r="K20" s="136"/>
    </row>
    <row r="21" spans="1:27" s="48" customFormat="1" ht="21.6" customHeight="1">
      <c r="A21" s="66" t="s">
        <v>59</v>
      </c>
      <c r="B21" s="46">
        <v>59300</v>
      </c>
      <c r="C21" s="46">
        <f>70000/12</f>
        <v>5833.333333333333</v>
      </c>
      <c r="D21" s="46">
        <f>110000/12</f>
        <v>9166.6666666666661</v>
      </c>
      <c r="E21" s="46">
        <f>B21+C21+D21</f>
        <v>74300</v>
      </c>
      <c r="F21" s="46">
        <f>E21*95%*1%</f>
        <v>705.85</v>
      </c>
      <c r="G21" s="67">
        <f t="shared" ref="G21" si="1">(E21+F21)*10%</f>
        <v>7500.5850000000009</v>
      </c>
      <c r="H21" s="133">
        <f>(E21+F21+G21)/B6</f>
        <v>4.2872066740106423</v>
      </c>
      <c r="I21" s="134">
        <v>3.28</v>
      </c>
      <c r="J21" s="135">
        <f t="shared" ref="J21" si="2">H21-I21</f>
        <v>1.0072066740106425</v>
      </c>
      <c r="K21" s="136">
        <f t="shared" ref="K21" si="3">H21/I21*100-100</f>
        <v>30.707520549104942</v>
      </c>
    </row>
    <row r="22" spans="1:27" s="61" customFormat="1" ht="12">
      <c r="A22" s="55"/>
      <c r="B22" s="56"/>
      <c r="C22" s="56"/>
      <c r="D22" s="56"/>
      <c r="E22" s="56"/>
      <c r="F22" s="56"/>
      <c r="G22" s="69"/>
      <c r="H22" s="129"/>
      <c r="I22" s="130"/>
      <c r="J22" s="131"/>
      <c r="K22" s="132"/>
      <c r="M22" s="60"/>
      <c r="N22" s="60"/>
      <c r="O22" s="60"/>
    </row>
    <row r="23" spans="1:27" s="63" customForma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27" s="63" customFormat="1" ht="38.1" customHeight="1">
      <c r="A24" s="176" t="s">
        <v>60</v>
      </c>
      <c r="B24" s="70" t="s">
        <v>31</v>
      </c>
      <c r="C24" s="71" t="s">
        <v>61</v>
      </c>
      <c r="D24" s="26"/>
      <c r="E24" s="26"/>
      <c r="F24" s="26"/>
      <c r="G24" s="26"/>
      <c r="H24" s="26"/>
    </row>
    <row r="25" spans="1:27" s="63" customFormat="1" ht="31.35" customHeight="1">
      <c r="A25" s="177"/>
      <c r="B25" s="179" t="s">
        <v>49</v>
      </c>
      <c r="C25" s="180"/>
      <c r="D25" s="26"/>
      <c r="E25" s="26"/>
      <c r="F25" s="26"/>
      <c r="G25" s="26"/>
      <c r="H25" s="26"/>
      <c r="I25" s="26"/>
      <c r="K25" s="62"/>
      <c r="L25" s="62"/>
    </row>
    <row r="26" spans="1:27" s="75" customFormat="1" ht="25.35" customHeight="1">
      <c r="A26" s="177"/>
      <c r="B26" s="72" t="s">
        <v>62</v>
      </c>
      <c r="C26" s="73">
        <f>6170*1.03/12</f>
        <v>529.5916666666667</v>
      </c>
      <c r="D26" s="26"/>
      <c r="E26" s="26"/>
      <c r="F26" s="26"/>
      <c r="G26" s="26"/>
      <c r="H26" s="26"/>
      <c r="I26" s="26"/>
      <c r="J26" s="74"/>
      <c r="K26" s="74"/>
      <c r="L26" s="74"/>
    </row>
    <row r="27" spans="1:27" s="75" customFormat="1">
      <c r="A27" s="177"/>
      <c r="B27" s="76" t="s">
        <v>63</v>
      </c>
      <c r="C27" s="77">
        <f>64080*1.03/12</f>
        <v>5500.2000000000007</v>
      </c>
      <c r="D27" s="26"/>
      <c r="E27" s="26"/>
      <c r="F27" s="26"/>
      <c r="G27" s="26"/>
      <c r="H27" s="26"/>
      <c r="I27" s="26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7" s="79" customFormat="1" ht="36">
      <c r="A28" s="177"/>
      <c r="B28" s="76" t="s">
        <v>64</v>
      </c>
      <c r="C28" s="77">
        <v>2000</v>
      </c>
      <c r="D28" s="26"/>
      <c r="E28" s="26"/>
      <c r="F28" s="26"/>
      <c r="G28" s="26"/>
      <c r="H28" s="26"/>
      <c r="I28" s="26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7" s="79" customFormat="1" ht="48">
      <c r="A29" s="177"/>
      <c r="B29" s="76" t="s">
        <v>65</v>
      </c>
      <c r="C29" s="77">
        <f>25000/12</f>
        <v>2083.3333333333335</v>
      </c>
      <c r="D29" s="26"/>
      <c r="E29" s="26"/>
      <c r="F29" s="26"/>
      <c r="G29" s="26"/>
      <c r="H29" s="26"/>
      <c r="I29" s="26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7" s="79" customFormat="1" ht="36">
      <c r="A30" s="177"/>
      <c r="B30" s="80" t="s">
        <v>66</v>
      </c>
      <c r="C30" s="81">
        <f>120000/36</f>
        <v>3333.3333333333335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</row>
    <row r="31" spans="1:27" s="79" customFormat="1" ht="26.45" customHeight="1">
      <c r="A31" s="177"/>
      <c r="B31" s="80" t="s">
        <v>67</v>
      </c>
      <c r="C31" s="81">
        <f>63000/12</f>
        <v>5250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</row>
    <row r="32" spans="1:27" s="79" customFormat="1" ht="26.45" customHeight="1">
      <c r="A32" s="177"/>
      <c r="B32" s="80" t="s">
        <v>68</v>
      </c>
      <c r="C32" s="81">
        <f>35000/12</f>
        <v>2916.6666666666665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6"/>
      <c r="O32" s="26"/>
      <c r="P32" s="26"/>
      <c r="Q32" s="26"/>
      <c r="R32" s="26"/>
      <c r="S32" s="26"/>
      <c r="T32" s="26"/>
      <c r="U32" s="78"/>
      <c r="V32" s="78"/>
      <c r="W32" s="78"/>
      <c r="X32" s="78"/>
      <c r="Y32" s="78"/>
      <c r="Z32" s="78"/>
      <c r="AA32" s="78"/>
    </row>
    <row r="33" spans="1:29" s="26" customFormat="1" ht="26.45" customHeight="1">
      <c r="A33" s="177"/>
      <c r="B33" s="82" t="s">
        <v>69</v>
      </c>
      <c r="C33" s="83">
        <f>SUM(C26:C32)</f>
        <v>21613.125000000004</v>
      </c>
      <c r="AB33" s="27"/>
      <c r="AC33" s="27"/>
    </row>
    <row r="34" spans="1:29" ht="12.6" customHeight="1">
      <c r="A34" s="177"/>
      <c r="B34" s="84"/>
      <c r="C34" s="85"/>
    </row>
    <row r="35" spans="1:29" ht="26.45" customHeight="1">
      <c r="A35" s="177"/>
      <c r="B35" s="179" t="s">
        <v>52</v>
      </c>
      <c r="C35" s="180"/>
    </row>
    <row r="36" spans="1:29" ht="26.45" customHeight="1">
      <c r="A36" s="177"/>
      <c r="B36" s="76" t="s">
        <v>70</v>
      </c>
      <c r="C36" s="77">
        <f>6000/12</f>
        <v>500</v>
      </c>
    </row>
    <row r="37" spans="1:29" ht="26.45" customHeight="1">
      <c r="A37" s="178"/>
      <c r="B37" s="82" t="s">
        <v>69</v>
      </c>
      <c r="C37" s="83">
        <f>SUM(C36:C36)</f>
        <v>500</v>
      </c>
    </row>
    <row r="38" spans="1:29">
      <c r="A38" s="27"/>
      <c r="B38" s="27"/>
      <c r="C38" s="27"/>
    </row>
    <row r="39" spans="1:29">
      <c r="A39" s="27"/>
      <c r="B39" s="27"/>
      <c r="C39" s="27"/>
    </row>
    <row r="40" spans="1:29">
      <c r="A40" s="27"/>
      <c r="B40" s="27"/>
      <c r="C40" s="27"/>
    </row>
    <row r="41" spans="1:29">
      <c r="A41" s="27"/>
      <c r="B41" s="27"/>
      <c r="C41" s="27"/>
    </row>
    <row r="42" spans="1:29" s="26" customFormat="1">
      <c r="A42" s="27"/>
      <c r="B42" s="27"/>
      <c r="C42" s="27"/>
      <c r="AB42" s="27"/>
      <c r="AC42" s="27"/>
    </row>
    <row r="43" spans="1:29" s="26" customFormat="1">
      <c r="A43" s="27"/>
      <c r="B43" s="27"/>
      <c r="C43" s="27"/>
      <c r="AB43" s="27"/>
      <c r="AC43" s="27"/>
    </row>
    <row r="44" spans="1:29" s="26" customFormat="1">
      <c r="A44" s="27"/>
      <c r="B44" s="27"/>
      <c r="C44" s="27"/>
      <c r="AB44" s="27"/>
      <c r="AC44" s="27"/>
    </row>
    <row r="45" spans="1:29" s="26" customFormat="1">
      <c r="A45" s="27"/>
      <c r="B45" s="27"/>
      <c r="C45" s="27"/>
      <c r="AB45" s="27"/>
      <c r="AC45" s="27"/>
    </row>
    <row r="46" spans="1:29" s="26" customFormat="1">
      <c r="A46" s="27"/>
      <c r="B46" s="27"/>
      <c r="C46" s="27"/>
      <c r="AB46" s="27"/>
      <c r="AC46" s="27"/>
    </row>
    <row r="47" spans="1:29" s="26" customFormat="1">
      <c r="A47" s="27"/>
      <c r="B47" s="27"/>
      <c r="C47" s="27"/>
      <c r="AB47" s="27"/>
      <c r="AC47" s="27"/>
    </row>
    <row r="48" spans="1:29" s="26" customFormat="1">
      <c r="A48" s="27"/>
      <c r="B48" s="27"/>
      <c r="C48" s="27"/>
      <c r="AB48" s="27"/>
      <c r="AC48" s="27"/>
    </row>
    <row r="49" spans="1:29" s="26" customFormat="1">
      <c r="A49" s="27"/>
      <c r="B49" s="27"/>
      <c r="C49" s="27"/>
      <c r="AB49" s="27"/>
      <c r="AC49" s="27"/>
    </row>
    <row r="50" spans="1:29" s="26" customFormat="1">
      <c r="A50" s="27"/>
      <c r="B50" s="27"/>
      <c r="C50" s="27"/>
      <c r="AB50" s="27"/>
      <c r="AC50" s="27"/>
    </row>
    <row r="51" spans="1:29" s="26" customFormat="1">
      <c r="A51" s="27"/>
      <c r="B51" s="27"/>
      <c r="C51" s="27"/>
      <c r="AB51" s="27"/>
      <c r="AC51" s="27"/>
    </row>
    <row r="52" spans="1:29" s="26" customFormat="1">
      <c r="A52" s="27"/>
      <c r="B52" s="27"/>
      <c r="C52" s="27"/>
      <c r="AB52" s="27"/>
      <c r="AC52" s="27"/>
    </row>
  </sheetData>
  <mergeCells count="13">
    <mergeCell ref="M11:M12"/>
    <mergeCell ref="A24:A37"/>
    <mergeCell ref="B25:C25"/>
    <mergeCell ref="B35:C35"/>
    <mergeCell ref="A11:A12"/>
    <mergeCell ref="J11:J12"/>
    <mergeCell ref="S11:S12"/>
    <mergeCell ref="T11:T12"/>
    <mergeCell ref="N11:N12"/>
    <mergeCell ref="O11:O12"/>
    <mergeCell ref="P11:P12"/>
    <mergeCell ref="Q11:Q12"/>
    <mergeCell ref="R11:R12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4" workbookViewId="0">
      <selection activeCell="E31" sqref="E31"/>
    </sheetView>
  </sheetViews>
  <sheetFormatPr defaultColWidth="8.85546875" defaultRowHeight="15"/>
  <cols>
    <col min="1" max="1" width="23.42578125" style="90" customWidth="1"/>
    <col min="2" max="2" width="26.42578125" style="90" customWidth="1"/>
    <col min="3" max="4" width="9" style="90" customWidth="1"/>
    <col min="5" max="5" width="10.5703125" style="90" customWidth="1"/>
    <col min="6" max="6" width="22.85546875" style="90" customWidth="1"/>
    <col min="7" max="10" width="14.42578125" style="90" customWidth="1"/>
    <col min="11" max="11" width="14.5703125" style="90" customWidth="1"/>
    <col min="12" max="12" width="11.42578125" style="90" customWidth="1"/>
    <col min="13" max="13" width="13.85546875" style="90" customWidth="1"/>
    <col min="14" max="14" width="13" style="90" bestFit="1" customWidth="1"/>
    <col min="15" max="16384" width="8.85546875" style="90"/>
  </cols>
  <sheetData>
    <row r="1" spans="1:14">
      <c r="A1" s="89" t="s">
        <v>73</v>
      </c>
    </row>
    <row r="3" spans="1:14" s="92" customFormat="1" ht="12.75">
      <c r="A3" s="91" t="s">
        <v>74</v>
      </c>
    </row>
    <row r="4" spans="1:14" s="92" customFormat="1" ht="25.5">
      <c r="A4" s="92" t="s">
        <v>28</v>
      </c>
      <c r="B4" s="93">
        <v>19244.8</v>
      </c>
      <c r="C4" s="94"/>
      <c r="F4" s="95"/>
      <c r="G4" s="96" t="s">
        <v>75</v>
      </c>
      <c r="H4" s="97" t="s">
        <v>76</v>
      </c>
      <c r="I4" s="98" t="s">
        <v>77</v>
      </c>
      <c r="J4" s="99" t="s">
        <v>78</v>
      </c>
    </row>
    <row r="5" spans="1:14" s="92" customFormat="1" ht="12.75">
      <c r="A5" s="92" t="s">
        <v>29</v>
      </c>
      <c r="B5" s="93">
        <v>0</v>
      </c>
      <c r="C5" s="94"/>
      <c r="F5" s="100" t="s">
        <v>79</v>
      </c>
      <c r="G5" s="101">
        <v>4</v>
      </c>
      <c r="H5" s="102">
        <v>12</v>
      </c>
      <c r="I5" s="102">
        <v>1000</v>
      </c>
      <c r="J5" s="103">
        <v>1</v>
      </c>
    </row>
    <row r="6" spans="1:14" s="92" customFormat="1" ht="12.75">
      <c r="A6" s="92" t="s">
        <v>80</v>
      </c>
      <c r="B6" s="93">
        <v>0</v>
      </c>
      <c r="C6" s="94"/>
      <c r="F6" s="104" t="s">
        <v>81</v>
      </c>
      <c r="G6" s="105">
        <v>4</v>
      </c>
      <c r="H6" s="106">
        <v>12</v>
      </c>
      <c r="I6" s="106">
        <v>450</v>
      </c>
      <c r="J6" s="107">
        <v>1</v>
      </c>
    </row>
    <row r="7" spans="1:14" s="92" customFormat="1" ht="12.75">
      <c r="B7" s="108">
        <f>SUM(B4:B6)</f>
        <v>19244.8</v>
      </c>
    </row>
    <row r="8" spans="1:14" s="92" customFormat="1" ht="12.75"/>
    <row r="9" spans="1:14" s="92" customFormat="1">
      <c r="B9" s="108"/>
      <c r="F9" s="90"/>
      <c r="G9" s="90"/>
      <c r="H9" s="90"/>
      <c r="I9" s="90"/>
      <c r="J9" s="90"/>
    </row>
    <row r="10" spans="1:14" s="92" customFormat="1">
      <c r="A10" s="92" t="s">
        <v>82</v>
      </c>
      <c r="B10" s="93">
        <v>1523.4</v>
      </c>
      <c r="G10" s="90"/>
      <c r="H10" s="90"/>
      <c r="I10" s="109"/>
      <c r="J10" s="109"/>
    </row>
    <row r="11" spans="1:14">
      <c r="F11" s="109"/>
      <c r="G11" s="109"/>
      <c r="H11" s="109"/>
      <c r="I11" s="110"/>
      <c r="J11" s="111"/>
    </row>
    <row r="12" spans="1:14">
      <c r="A12" s="89" t="s">
        <v>83</v>
      </c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s="109" customFormat="1" ht="12.75">
      <c r="A13" s="187" t="s">
        <v>84</v>
      </c>
      <c r="B13" s="188"/>
      <c r="C13" s="188"/>
      <c r="D13" s="188"/>
      <c r="E13" s="112">
        <v>6489.43</v>
      </c>
      <c r="F13" s="111"/>
    </row>
    <row r="14" spans="1:14" s="109" customFormat="1" ht="12.75">
      <c r="A14" s="183" t="s">
        <v>85</v>
      </c>
      <c r="B14" s="184"/>
      <c r="C14" s="184"/>
      <c r="D14" s="184"/>
      <c r="E14" s="113">
        <v>4.5999999999999999E-2</v>
      </c>
      <c r="F14" s="110"/>
    </row>
    <row r="15" spans="1:14" s="109" customFormat="1" ht="12.75">
      <c r="A15" s="183" t="s">
        <v>86</v>
      </c>
      <c r="B15" s="184"/>
      <c r="C15" s="184"/>
      <c r="D15" s="184"/>
      <c r="E15" s="113">
        <f>G5</f>
        <v>4</v>
      </c>
      <c r="G15" s="114"/>
      <c r="H15" s="111"/>
      <c r="I15" s="115"/>
      <c r="J15" s="114"/>
    </row>
    <row r="16" spans="1:14" s="109" customFormat="1" ht="12.75">
      <c r="A16" s="185" t="s">
        <v>87</v>
      </c>
      <c r="B16" s="186"/>
      <c r="C16" s="186"/>
      <c r="D16" s="186"/>
      <c r="E16" s="116">
        <f>H5</f>
        <v>12</v>
      </c>
      <c r="G16" s="114"/>
      <c r="H16" s="111"/>
      <c r="I16" s="115"/>
      <c r="J16" s="114"/>
    </row>
    <row r="17" spans="1:11" s="109" customFormat="1" ht="22.35" customHeight="1">
      <c r="A17" s="117" t="s">
        <v>88</v>
      </c>
      <c r="B17" s="118"/>
      <c r="C17" s="118"/>
      <c r="D17" s="118"/>
      <c r="E17" s="119">
        <f>E13*(1+E14*(E16-2))*E15</f>
        <v>37898.271200000003</v>
      </c>
      <c r="F17" s="120"/>
      <c r="G17" s="114"/>
      <c r="H17" s="111"/>
      <c r="I17" s="115"/>
      <c r="J17" s="114"/>
      <c r="K17" s="114"/>
    </row>
    <row r="18" spans="1:11" s="109" customFormat="1" ht="12.75">
      <c r="B18" s="111"/>
      <c r="F18" s="115"/>
      <c r="G18" s="114"/>
      <c r="H18" s="111"/>
      <c r="I18" s="115"/>
      <c r="J18" s="114"/>
      <c r="K18" s="114"/>
    </row>
    <row r="19" spans="1:11" s="109" customFormat="1" ht="12.75">
      <c r="I19" s="110"/>
    </row>
    <row r="20" spans="1:11" s="109" customFormat="1" ht="14.25">
      <c r="A20" s="89" t="s">
        <v>89</v>
      </c>
    </row>
    <row r="21" spans="1:11" s="109" customFormat="1" ht="12.75">
      <c r="A21" s="187" t="s">
        <v>84</v>
      </c>
      <c r="B21" s="188"/>
      <c r="C21" s="188"/>
      <c r="D21" s="188"/>
      <c r="E21" s="112">
        <v>6424.12</v>
      </c>
      <c r="F21" s="111"/>
    </row>
    <row r="22" spans="1:11" s="109" customFormat="1" ht="12.75">
      <c r="A22" s="183" t="s">
        <v>85</v>
      </c>
      <c r="B22" s="184"/>
      <c r="C22" s="184"/>
      <c r="D22" s="184"/>
      <c r="E22" s="113">
        <v>4.7E-2</v>
      </c>
      <c r="F22" s="110"/>
    </row>
    <row r="23" spans="1:11" s="109" customFormat="1" ht="12.75">
      <c r="A23" s="183" t="s">
        <v>86</v>
      </c>
      <c r="B23" s="184"/>
      <c r="C23" s="184"/>
      <c r="D23" s="184"/>
      <c r="E23" s="113">
        <f>G6</f>
        <v>4</v>
      </c>
    </row>
    <row r="24" spans="1:11" s="109" customFormat="1" ht="12.75">
      <c r="A24" s="185" t="s">
        <v>87</v>
      </c>
      <c r="B24" s="186"/>
      <c r="C24" s="186"/>
      <c r="D24" s="186"/>
      <c r="E24" s="116">
        <f>H6</f>
        <v>12</v>
      </c>
    </row>
    <row r="25" spans="1:11" s="109" customFormat="1" ht="22.35" customHeight="1">
      <c r="A25" s="117" t="s">
        <v>88</v>
      </c>
      <c r="B25" s="118"/>
      <c r="C25" s="118"/>
      <c r="D25" s="118"/>
      <c r="E25" s="119">
        <f>E21*(1+E22*(E24-2))*E23</f>
        <v>37773.825599999996</v>
      </c>
      <c r="F25" s="120"/>
    </row>
    <row r="26" spans="1:11" s="109" customFormat="1" ht="12.75">
      <c r="F26" s="115"/>
    </row>
    <row r="27" spans="1:11">
      <c r="F27" s="109"/>
      <c r="G27" s="114"/>
      <c r="H27" s="121"/>
      <c r="I27" s="121"/>
      <c r="J27" s="114"/>
    </row>
    <row r="28" spans="1:11" s="92" customFormat="1" ht="12.75">
      <c r="A28" s="122" t="s">
        <v>90</v>
      </c>
      <c r="B28" s="123"/>
      <c r="C28" s="123"/>
      <c r="D28" s="123"/>
      <c r="E28" s="108">
        <f>E17+E25</f>
        <v>75672.096799999999</v>
      </c>
      <c r="G28" s="124"/>
      <c r="H28" s="110"/>
      <c r="I28" s="110"/>
      <c r="J28" s="124"/>
    </row>
    <row r="29" spans="1:11" s="92" customFormat="1" ht="12.75">
      <c r="A29" s="122"/>
      <c r="B29" s="123"/>
      <c r="C29" s="123"/>
      <c r="D29" s="123"/>
      <c r="E29" s="108"/>
      <c r="G29" s="124"/>
      <c r="H29" s="110"/>
      <c r="I29" s="110"/>
      <c r="J29" s="124"/>
    </row>
    <row r="30" spans="1:11" s="92" customFormat="1" ht="12.75">
      <c r="A30" s="122" t="s">
        <v>91</v>
      </c>
      <c r="B30" s="123"/>
      <c r="C30" s="123"/>
      <c r="D30" s="123"/>
      <c r="E30" s="108">
        <f>4*2500</f>
        <v>10000</v>
      </c>
      <c r="G30" s="124"/>
      <c r="H30" s="110"/>
      <c r="I30" s="110"/>
      <c r="J30" s="124"/>
    </row>
    <row r="31" spans="1:11" s="92" customFormat="1" ht="12.75">
      <c r="A31" s="122"/>
      <c r="B31" s="123"/>
      <c r="C31" s="123"/>
      <c r="D31" s="123"/>
      <c r="E31" s="108"/>
      <c r="G31" s="124"/>
      <c r="H31" s="110"/>
      <c r="I31" s="110"/>
      <c r="J31" s="124"/>
    </row>
    <row r="32" spans="1:11" s="121" customFormat="1">
      <c r="A32" s="125"/>
      <c r="B32" s="110"/>
      <c r="C32" s="126"/>
      <c r="E32" s="109"/>
      <c r="F32" s="90"/>
      <c r="G32" s="90"/>
      <c r="H32" s="90"/>
      <c r="I32" s="90"/>
      <c r="J32" s="90"/>
      <c r="K32" s="114"/>
    </row>
    <row r="33" spans="1:13" s="128" customFormat="1">
      <c r="A33" s="127" t="s">
        <v>92</v>
      </c>
      <c r="E33" s="110">
        <f>(E28+E30)/(B4+B5-B10)</f>
        <v>4.8343864931664546</v>
      </c>
      <c r="F33" s="121"/>
      <c r="G33" s="90"/>
      <c r="H33" s="90"/>
      <c r="I33" s="90"/>
      <c r="J33" s="90"/>
      <c r="K33" s="124"/>
      <c r="M33" s="110"/>
    </row>
    <row r="34" spans="1:13">
      <c r="F34" s="110"/>
    </row>
  </sheetData>
  <mergeCells count="8">
    <mergeCell ref="A23:D23"/>
    <mergeCell ref="A24:D24"/>
    <mergeCell ref="A13:D13"/>
    <mergeCell ref="A14:D14"/>
    <mergeCell ref="A15:D15"/>
    <mergeCell ref="A16:D16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opLeftCell="A7" workbookViewId="0">
      <selection activeCell="E25" sqref="E25"/>
    </sheetView>
  </sheetViews>
  <sheetFormatPr defaultColWidth="8.85546875" defaultRowHeight="15"/>
  <cols>
    <col min="1" max="1" width="21.85546875" style="88" customWidth="1"/>
    <col min="2" max="5" width="13.85546875" style="88" customWidth="1"/>
    <col min="6" max="7" width="13.5703125" style="88" customWidth="1"/>
    <col min="8" max="13" width="13.85546875" style="88" customWidth="1"/>
    <col min="14" max="16384" width="8.85546875" style="88"/>
  </cols>
  <sheetData>
    <row r="2" spans="1:5">
      <c r="A2" s="28"/>
      <c r="B2" s="28" t="s">
        <v>105</v>
      </c>
      <c r="C2" s="28" t="s">
        <v>106</v>
      </c>
      <c r="D2" s="28" t="s">
        <v>107</v>
      </c>
      <c r="E2" s="28" t="s">
        <v>109</v>
      </c>
    </row>
    <row r="3" spans="1:5" s="155" customFormat="1" ht="12">
      <c r="A3" s="155" t="s">
        <v>102</v>
      </c>
      <c r="B3" s="29">
        <v>60368.2</v>
      </c>
      <c r="C3" s="29">
        <v>19244.8</v>
      </c>
      <c r="D3" s="29">
        <v>10616.9</v>
      </c>
      <c r="E3" s="29">
        <f>SUM(B3:D3)</f>
        <v>90229.9</v>
      </c>
    </row>
    <row r="4" spans="1:5" s="155" customFormat="1" ht="12">
      <c r="A4" s="155" t="s">
        <v>103</v>
      </c>
      <c r="B4" s="29">
        <v>2355.1</v>
      </c>
      <c r="C4" s="29">
        <v>0</v>
      </c>
      <c r="D4" s="29">
        <v>0</v>
      </c>
      <c r="E4" s="29">
        <f t="shared" ref="E4:E5" si="0">SUM(B4:D4)</f>
        <v>2355.1</v>
      </c>
    </row>
    <row r="5" spans="1:5" s="155" customFormat="1" ht="12">
      <c r="A5" s="155" t="s">
        <v>104</v>
      </c>
      <c r="B5" s="29">
        <v>9394.7999999999993</v>
      </c>
      <c r="C5" s="29">
        <v>0</v>
      </c>
      <c r="D5" s="29">
        <v>0</v>
      </c>
      <c r="E5" s="29">
        <f t="shared" si="0"/>
        <v>9394.7999999999993</v>
      </c>
    </row>
    <row r="6" spans="1:5" s="155" customFormat="1" ht="12">
      <c r="B6" s="30">
        <f>SUM(B3:B5)</f>
        <v>72118.099999999991</v>
      </c>
      <c r="C6" s="30">
        <f t="shared" ref="C6:D6" si="1">SUM(C3:C5)</f>
        <v>19244.8</v>
      </c>
      <c r="D6" s="30">
        <f t="shared" si="1"/>
        <v>10616.9</v>
      </c>
      <c r="E6" s="30">
        <f>SUM(E3:E5)</f>
        <v>101979.8</v>
      </c>
    </row>
    <row r="7" spans="1:5" s="155" customFormat="1" ht="12">
      <c r="A7" s="155" t="s">
        <v>108</v>
      </c>
      <c r="B7" s="156">
        <v>275</v>
      </c>
    </row>
    <row r="10" spans="1:5" s="155" customFormat="1" ht="12">
      <c r="A10" s="155" t="s">
        <v>110</v>
      </c>
      <c r="B10" s="157">
        <v>644225</v>
      </c>
    </row>
    <row r="11" spans="1:5" s="155" customFormat="1" ht="12">
      <c r="B11" s="157"/>
    </row>
    <row r="12" spans="1:5" s="155" customFormat="1" ht="12">
      <c r="A12" s="28" t="s">
        <v>105</v>
      </c>
      <c r="B12" s="157">
        <v>455583</v>
      </c>
    </row>
    <row r="13" spans="1:5" s="155" customFormat="1" ht="12">
      <c r="A13" s="28" t="s">
        <v>106</v>
      </c>
      <c r="B13" s="157">
        <v>121573</v>
      </c>
    </row>
    <row r="14" spans="1:5" s="155" customFormat="1" ht="12">
      <c r="A14" s="28" t="s">
        <v>107</v>
      </c>
      <c r="B14" s="157">
        <v>67069</v>
      </c>
    </row>
    <row r="15" spans="1:5" s="155" customFormat="1" ht="12"/>
    <row r="17" spans="1:15" s="40" customFormat="1" ht="48">
      <c r="A17" s="34" t="s">
        <v>31</v>
      </c>
      <c r="B17" s="64" t="s">
        <v>94</v>
      </c>
      <c r="C17" s="36" t="s">
        <v>44</v>
      </c>
      <c r="D17" s="36" t="s">
        <v>45</v>
      </c>
      <c r="E17" s="38" t="s">
        <v>46</v>
      </c>
      <c r="G17" s="34" t="s">
        <v>71</v>
      </c>
      <c r="H17" s="64" t="s">
        <v>97</v>
      </c>
      <c r="I17" s="35" t="s">
        <v>98</v>
      </c>
      <c r="J17" s="138" t="s">
        <v>99</v>
      </c>
      <c r="K17" s="138" t="s">
        <v>100</v>
      </c>
      <c r="L17" s="64" t="s">
        <v>57</v>
      </c>
      <c r="M17" s="139" t="s">
        <v>23</v>
      </c>
    </row>
    <row r="18" spans="1:15" s="40" customFormat="1" ht="12">
      <c r="A18" s="41"/>
      <c r="B18" s="42"/>
      <c r="C18" s="42"/>
      <c r="D18" s="42"/>
      <c r="E18" s="65"/>
      <c r="G18" s="140" t="s">
        <v>101</v>
      </c>
      <c r="H18" s="42">
        <f>4.94*E3</f>
        <v>445735.70600000001</v>
      </c>
      <c r="I18" s="42">
        <f>H18*I21/H21</f>
        <v>522789.62879449682</v>
      </c>
      <c r="J18" s="141">
        <f>I18/E3</f>
        <v>5.7939732704402518</v>
      </c>
      <c r="K18" s="142">
        <v>4.9400000000000004</v>
      </c>
      <c r="L18" s="143">
        <f>J18-K18</f>
        <v>0.8539732704402514</v>
      </c>
      <c r="M18" s="144">
        <f>J18/K18*100-100</f>
        <v>17.286908308507122</v>
      </c>
    </row>
    <row r="19" spans="1:15" s="48" customFormat="1" ht="24">
      <c r="A19" s="66" t="s">
        <v>95</v>
      </c>
      <c r="B19" s="46">
        <v>644225</v>
      </c>
      <c r="C19" s="46">
        <f>B19</f>
        <v>644225</v>
      </c>
      <c r="D19" s="46">
        <f>C19*95%*1%</f>
        <v>6120.1374999999998</v>
      </c>
      <c r="E19" s="67">
        <f>(C19+D19)*10%</f>
        <v>65034.513749999998</v>
      </c>
      <c r="G19" s="145" t="s">
        <v>29</v>
      </c>
      <c r="H19" s="68">
        <f>4.94*E4</f>
        <v>11634.194000000001</v>
      </c>
      <c r="I19" s="68">
        <f>H19*I21/H21</f>
        <v>13645.386449213838</v>
      </c>
      <c r="J19" s="146">
        <f>I19/E4</f>
        <v>5.7939732704402527</v>
      </c>
      <c r="K19" s="147">
        <v>4.9400000000000004</v>
      </c>
      <c r="L19" s="143">
        <f>J19-K19</f>
        <v>0.85397327044025229</v>
      </c>
      <c r="M19" s="144">
        <f>J19/K19*100-100</f>
        <v>17.286908308507122</v>
      </c>
    </row>
    <row r="20" spans="1:15" s="61" customFormat="1" ht="12">
      <c r="A20" s="55"/>
      <c r="B20" s="56"/>
      <c r="C20" s="56"/>
      <c r="D20" s="56"/>
      <c r="E20" s="69"/>
      <c r="G20" s="145" t="s">
        <v>30</v>
      </c>
      <c r="H20" s="68">
        <f>554.8*275</f>
        <v>152570</v>
      </c>
      <c r="I20" s="68">
        <f>H20*I21/H21</f>
        <v>178944.63600628928</v>
      </c>
      <c r="J20" s="146">
        <f>I20/275</f>
        <v>650.70776729559736</v>
      </c>
      <c r="K20" s="147">
        <v>554.79999999999995</v>
      </c>
      <c r="L20" s="148">
        <f>J20-K20</f>
        <v>95.907767295597409</v>
      </c>
      <c r="M20" s="149">
        <f>J20/K20*100-100</f>
        <v>17.286908308507094</v>
      </c>
    </row>
    <row r="21" spans="1:15" s="63" customFormat="1">
      <c r="A21" s="62"/>
      <c r="B21" s="62"/>
      <c r="C21" s="62"/>
      <c r="D21" s="62"/>
      <c r="E21" s="62"/>
      <c r="F21" s="62"/>
      <c r="G21" s="150"/>
      <c r="H21" s="151">
        <f>SUM(H18:H20)</f>
        <v>609939.9</v>
      </c>
      <c r="I21" s="151">
        <f>C19+D19+E19</f>
        <v>715379.65125</v>
      </c>
      <c r="J21" s="152"/>
      <c r="K21" s="152"/>
      <c r="L21" s="153"/>
      <c r="M21" s="154"/>
    </row>
    <row r="22" spans="1:15" s="63" customFormat="1">
      <c r="A22" s="26"/>
      <c r="C22" s="26"/>
      <c r="D22" s="26"/>
      <c r="E22" s="26"/>
      <c r="F22" s="26"/>
      <c r="G22" s="26"/>
      <c r="H22" s="26"/>
      <c r="I22" s="62"/>
      <c r="J22" s="62"/>
      <c r="K22" s="62"/>
      <c r="L22" s="62"/>
      <c r="M22" s="62"/>
      <c r="N22" s="62"/>
      <c r="O22" s="62"/>
    </row>
    <row r="24" spans="1:15">
      <c r="A24" s="88" t="s">
        <v>111</v>
      </c>
    </row>
    <row r="25" spans="1:15" ht="36">
      <c r="A25" s="158"/>
      <c r="B25" s="159" t="s">
        <v>94</v>
      </c>
      <c r="C25" s="160" t="s">
        <v>45</v>
      </c>
    </row>
    <row r="26" spans="1:15">
      <c r="A26" s="161" t="s">
        <v>105</v>
      </c>
      <c r="B26" s="162">
        <v>488416.19130991423</v>
      </c>
      <c r="C26" s="163">
        <f>B26*95%*1%</f>
        <v>4639.953817444185</v>
      </c>
    </row>
    <row r="27" spans="1:15">
      <c r="A27" s="161" t="s">
        <v>106</v>
      </c>
      <c r="B27" s="162">
        <v>100413.21697957454</v>
      </c>
      <c r="C27" s="163">
        <f t="shared" ref="C27:C28" si="2">B27*95%*1%</f>
        <v>953.92556130595813</v>
      </c>
    </row>
    <row r="28" spans="1:15">
      <c r="A28" s="161" t="s">
        <v>107</v>
      </c>
      <c r="B28" s="162">
        <v>55395.591710511151</v>
      </c>
      <c r="C28" s="163">
        <f t="shared" si="2"/>
        <v>526.25812124985589</v>
      </c>
    </row>
    <row r="29" spans="1:15">
      <c r="A29" s="164" t="s">
        <v>72</v>
      </c>
      <c r="B29" s="165">
        <f>SUM(B26:B28)</f>
        <v>644224.99999999988</v>
      </c>
      <c r="C29" s="166">
        <f>SUM(C26:C28)</f>
        <v>6120.1374999999998</v>
      </c>
    </row>
    <row r="30" spans="1:15">
      <c r="B30" s="157"/>
      <c r="C30" s="157"/>
      <c r="D30" s="157"/>
      <c r="E30" s="157"/>
    </row>
    <row r="31" spans="1:15">
      <c r="B31" s="157"/>
      <c r="C31" s="157"/>
      <c r="D31" s="157"/>
      <c r="E31" s="157"/>
    </row>
    <row r="32" spans="1:15">
      <c r="B32" s="157"/>
      <c r="C32" s="157"/>
      <c r="D32" s="157"/>
      <c r="E32" s="157"/>
    </row>
    <row r="33" spans="2:5">
      <c r="B33" s="157"/>
      <c r="C33" s="157"/>
      <c r="D33" s="157"/>
      <c r="E33" s="1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 к ОСС_жилье</vt:lpstr>
      <vt:lpstr>Разъяснения</vt:lpstr>
      <vt:lpstr>Лифты_формула</vt:lpstr>
      <vt:lpstr>Охрана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gjvegh</cp:lastModifiedBy>
  <dcterms:created xsi:type="dcterms:W3CDTF">2022-10-26T08:34:31Z</dcterms:created>
  <dcterms:modified xsi:type="dcterms:W3CDTF">2022-11-10T06:52:54Z</dcterms:modified>
</cp:coreProperties>
</file>